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66925"/>
  <mc:AlternateContent xmlns:mc="http://schemas.openxmlformats.org/markup-compatibility/2006">
    <mc:Choice Requires="x15">
      <x15ac:absPath xmlns:x15ac="http://schemas.microsoft.com/office/spreadsheetml/2010/11/ac" url="\\Mac\Dropbox\Current\Work\Freelance\WHO\IM Team\HNO\HNO 2022\"/>
    </mc:Choice>
  </mc:AlternateContent>
  <xr:revisionPtr revIDLastSave="0" documentId="8_{7850FC3D-9F90-4797-9B06-2AB65EFECB04}" xr6:coauthVersionLast="47" xr6:coauthVersionMax="47" xr10:uidLastSave="{00000000-0000-0000-0000-000000000000}"/>
  <bookViews>
    <workbookView xWindow="-98" yWindow="-98" windowWidth="45315" windowHeight="24975" activeTab="3" xr2:uid="{C9E0EB85-C0EB-6F44-9186-BDDA80B32213}"/>
  </bookViews>
  <sheets>
    <sheet name="Read Me" sheetId="18" r:id="rId1"/>
    <sheet name="GHC_CoreIndicators_Measurement" sheetId="16" r:id="rId2"/>
    <sheet name="Population_Input" sheetId="3" r:id="rId3"/>
    <sheet name="Indicator_Input" sheetId="4" r:id="rId4"/>
    <sheet name="Calculator" sheetId="10" r:id="rId5"/>
    <sheet name="ScoreCard" sheetId="8" r:id="rId6"/>
    <sheet name="FinalPiN" sheetId="2" r:id="rId7"/>
    <sheet name="AnalysisScoreCard" sheetId="15" state="hidden" r:id="rId8"/>
    <sheet name="AdminData" sheetId="17" r:id="rId9"/>
  </sheets>
  <definedNames>
    <definedName name="_xlnm._FilterDatabase" localSheetId="1" hidden="1">GHC_CoreIndicators_Measurement!$B$2:$S$52</definedName>
    <definedName name="_xlnm._FilterDatabase" localSheetId="3" hidden="1">Indicator_Input!$A$3:$AX$55</definedName>
    <definedName name="_xlnm._FilterDatabase" localSheetId="2" hidden="1">Population_Input!$A$4:$F$56</definedName>
    <definedName name="Admin1">Population_Input!$A$5:$A$60</definedName>
    <definedName name="Admin2">Population_Input!$B$5:$B$60</definedName>
    <definedName name="Age15Up">Population_Input!$E$5:$E$56</definedName>
    <definedName name="Age1to14">Population_Input!$D$5:$D$56</definedName>
    <definedName name="Arnor" localSheetId="8">AdminData!$G$2:$G$4</definedName>
    <definedName name="Beleriand">AdminData!$H$2:$H$3</definedName>
    <definedName name="C_Admin1">Calculator!$C$6:$C$61</definedName>
    <definedName name="C_Admin2">Calculator!$D$6:$D$61</definedName>
    <definedName name="C_Severity">FinalPiN!$H$5:$H$56</definedName>
    <definedName name="Category">GHC_CoreIndicators_Measurement!$D$3:$D$52</definedName>
    <definedName name="CF_01">Indicator_Input!$AD$4:$AD$59</definedName>
    <definedName name="CF_02">Indicator_Input!$AE$4:$AE$59</definedName>
    <definedName name="CF_03">Indicator_Input!$AF$4:$AF$59</definedName>
    <definedName name="CF_03a">Indicator_Input!$AF$4:$AF$59</definedName>
    <definedName name="CF_03b">Indicator_Input!$AG$4:$AG$59</definedName>
    <definedName name="CF_04">Indicator_Input!$AH$4:$AH$59</definedName>
    <definedName name="CF_04a">Indicator_Input!$AH$4:$AH$59</definedName>
    <definedName name="CF_04b">Indicator_Input!$AI$4:$AI$59</definedName>
    <definedName name="Critical">GHC_CoreIndicators_Measurement!$F$3:$F$52</definedName>
    <definedName name="Data_Reliability">GHC_CoreIndicators_Measurement!$U$3:$U$52</definedName>
    <definedName name="Data_Source">GHC_CoreIndicators_Measurement!$T$3:$T$52</definedName>
    <definedName name="Displaced">Population_Input!$F$5:$F$56</definedName>
    <definedName name="EndFormula">GHC_CoreIndicators_Measurement!$K$3:$K$52</definedName>
    <definedName name="Eriador">AdminData!$J$2:$J$9</definedName>
    <definedName name="First_Admin">AdminData!$E$2:$E$13</definedName>
    <definedName name="Forodwaith">AdminData!$K$2:$K$3</definedName>
    <definedName name="FP_Admin_1">FinalPiN!$B$5:$B$56</definedName>
    <definedName name="FP_Admin_2">FinalPiN!$C$5:$C$56</definedName>
    <definedName name="FP_Admin1">FinalPiN!$B$5:$B$56</definedName>
    <definedName name="FP_Admin2">FinalPiN!$C$5:$C$56</definedName>
    <definedName name="Framework_Class">GHC_CoreIndicators_Measurement!$Q$3:$Q$52</definedName>
    <definedName name="Gondor">AdminData!$L$2:$L$13</definedName>
    <definedName name="Harad">AdminData!$M$2:$M$5</definedName>
    <definedName name="HR_01">Indicator_Input!$D$4:$D$59</definedName>
    <definedName name="HR_01b">Indicator_Input!$D$4:$D$59</definedName>
    <definedName name="HR_02">Indicator_Input!$E$4:$E$59</definedName>
    <definedName name="HR_05">Indicator_Input!$F$4:$F$59</definedName>
    <definedName name="HR_06">Indicator_Input!$G$4:$G$59</definedName>
    <definedName name="HR_06b">Indicator_Input!$H$4:$H$59</definedName>
    <definedName name="HR_07">Indicator_Input!$I$4:$I$59</definedName>
    <definedName name="HR_08">Indicator_Input!$J$4:$J$59</definedName>
    <definedName name="HR_12">Indicator_Input!$K$4:$K$59</definedName>
    <definedName name="HR_12b">Indicator_Input!$L$4:$L$59</definedName>
    <definedName name="HR_13">Indicator_Input!$M$4:$M$59</definedName>
    <definedName name="HR_14">Indicator_Input!$N$4:$N$59</definedName>
    <definedName name="HR_14b">Indicator_Input!$O$4:$O$59</definedName>
    <definedName name="HR_18">Indicator_Input!$P$4:$P$59</definedName>
    <definedName name="HR_19">Indicator_Input!$Q$4:$Q$59</definedName>
    <definedName name="HR_20">Indicator_Input!$R$4:$R$59</definedName>
    <definedName name="HS_01">Indicator_Input!$S$4:$S$59</definedName>
    <definedName name="HS_02">Indicator_Input!$T$4:$T$59</definedName>
    <definedName name="HS_03">Indicator_Input!$U$4:$U$59</definedName>
    <definedName name="HS_04">Indicator_Input!$V$4:$V$59</definedName>
    <definedName name="HS_05">Indicator_Input!$W$4:$W$59</definedName>
    <definedName name="HS_06">Indicator_Input!$Z$4:$Z$59</definedName>
    <definedName name="HS_06a">Indicator_Input!$X$4:$X$59</definedName>
    <definedName name="HS_06b">Indicator_Input!$Y$4:$Y$59</definedName>
    <definedName name="HS_06c">Indicator_Input!$Z$4:$Z$59</definedName>
    <definedName name="HS_07">Indicator_Input!$AA$4:$AA$59</definedName>
    <definedName name="HS_08">Indicator_Input!$AB$4:$AB$59</definedName>
    <definedName name="HS_09">Indicator_Input!$AC$4:$AC$59</definedName>
    <definedName name="IN_Admin1">Indicator_Input!$B$4:$B$59</definedName>
    <definedName name="IN_Admin2">Indicator_Input!$C$4:$C$59</definedName>
    <definedName name="Lindon">AdminData!$N$2:$N$4</definedName>
    <definedName name="Logical_Operator">GHC_CoreIndicators_Measurement!$J$3:$J$52</definedName>
    <definedName name="M_CF">FinalPiN!$G$5:$G$56</definedName>
    <definedName name="M_HSR">FinalPiN!$E$5:$E$56</definedName>
    <definedName name="Measure">GHC_CoreIndicators_Measurement!$H$3:$H$52</definedName>
    <definedName name="Mordor">AdminData!$O$2:$O$5</definedName>
    <definedName name="Notes">GHC_CoreIndicators_Measurement!$V$3:$V$52</definedName>
    <definedName name="P_Admin_1">FinalPiN!$B$5:$B$56</definedName>
    <definedName name="P_Admin_2">FinalPiN!$C$5:$C$56</definedName>
    <definedName name="P_CF_01">Calculator!$N$6:$N$61</definedName>
    <definedName name="P_CF_02">Calculator!$O$6:$O$61</definedName>
    <definedName name="P_CF_03a">Calculator!$T$6:$T$61</definedName>
    <definedName name="P_CF_04a">Calculator!$U$6:$U$61</definedName>
    <definedName name="P_CF_06">Calculator!$P$6:$P$61</definedName>
    <definedName name="P_HR_01">Calculator!$E$6:$E$61</definedName>
    <definedName name="P_HR_01b">Calculator!$E$6:$E$61</definedName>
    <definedName name="P_HR_06">Calculator!$F$6:$F$61</definedName>
    <definedName name="P_HR_07">Calculator!$G$6:$G$61</definedName>
    <definedName name="P_HR_08">Calculator!$H$6:$H$61</definedName>
    <definedName name="P_HR_12">Calculator!$I$6:$I$61</definedName>
    <definedName name="P_HR_13">Calculator!$J$6:$J$61</definedName>
    <definedName name="P_HR_14">Calculator!$K$6:$K$61</definedName>
    <definedName name="P_HR_18">Calculator!$L$6:$L$61</definedName>
    <definedName name="P_HS_01">Calculator!$N$6:$N$61</definedName>
    <definedName name="P_HS_02">Calculator!$O$6:$O$61</definedName>
    <definedName name="P_HS_06">Calculator!$P$6:$P$61</definedName>
    <definedName name="P_HS_06a">Calculator!$P$6:$P$61</definedName>
    <definedName name="P_HS_06b">Calculator!$Q$6:$Q$61</definedName>
    <definedName name="P_HS_06c">Calculator!$R$6:$R$61</definedName>
    <definedName name="PiN_Code">GHC_CoreIndicators_Measurement!$C$3:$C$52</definedName>
    <definedName name="PiN_Per">GHC_CoreIndicators_Measurement!$I$3:$I$52</definedName>
    <definedName name="PiN_Threshold">GHC_CoreIndicators_Measurement!$G$3:$G$52</definedName>
    <definedName name="Pop">FinalPiN!$D$5:$D$56</definedName>
    <definedName name="Pop_Admin1">Population_Input!$A$5:$A$60</definedName>
    <definedName name="Pop_Admin2">Population_Input!$B$5:$B$60</definedName>
    <definedName name="Population">Population_Input!$C$5:$C$60</definedName>
    <definedName name="Rhovanion">AdminData!$P$2:$P$8</definedName>
    <definedName name="Rhun">AdminData!$Q$2:$Q$5</definedName>
    <definedName name="Rohan">AdminData!$R$2:$R$7</definedName>
    <definedName name="S_CF_02">Calculator!$AK$6:$AK$61</definedName>
    <definedName name="S_CF_03a">Calculator!$AN$6:$AN$61</definedName>
    <definedName name="S_CF_03b">Calculator!$AN$6:$AN$61</definedName>
    <definedName name="S_CF_04">Calculator!$AC$6:$AC$61</definedName>
    <definedName name="S_CF_04b">Calculator!$AL$6:$AL$61</definedName>
    <definedName name="S_CF_07">Calculator!$AF$6:$AF$61</definedName>
    <definedName name="S_CF_08">Calculator!$AK$6:$AK$61</definedName>
    <definedName name="S_HR_02">Calculator!$W$6:$W$61</definedName>
    <definedName name="S_HR_06b">Calculator!$X$6:$X$61</definedName>
    <definedName name="S_HR_09">Calculator!$W$6:$W$61</definedName>
    <definedName name="S_HR_11">Calculator!$X$6:$X$61</definedName>
    <definedName name="S_HR_12b">Calculator!$Y$6:$Y$61</definedName>
    <definedName name="S_HR_14">Calculator!$Z$6:$Z$61</definedName>
    <definedName name="S_HR_14b">Calculator!$Z$6:$Z$61</definedName>
    <definedName name="S_HS_02">Calculator!$AB$6:$AB$61</definedName>
    <definedName name="S_HS_03">Calculator!$AC$6:$AC$61</definedName>
    <definedName name="S_HS_06a">Calculator!$AD$6:$AD$61</definedName>
    <definedName name="S_HS_06b">Calculator!$AE$6:$AE$61</definedName>
    <definedName name="S_HS_06c">Calculator!$AF$6:$AF$61</definedName>
    <definedName name="S_HS_07">Calculator!$AG$6:$AG$61</definedName>
    <definedName name="S_HS_08">Calculator!$AH$6:$AH$61</definedName>
    <definedName name="S_HS_09">Calculator!$AI$6:$AI$61</definedName>
    <definedName name="Severity_1">GHC_CoreIndicators_Measurement!$L$3:$L$52</definedName>
    <definedName name="Severity_2">GHC_CoreIndicators_Measurement!$M$3:$M$52</definedName>
    <definedName name="Severity_3">GHC_CoreIndicators_Measurement!$N$3:$N$52</definedName>
    <definedName name="Severity_4">GHC_CoreIndicators_Measurement!$O$3:$O$52</definedName>
    <definedName name="Severity_5">GHC_CoreIndicators_Measurement!$P$3:$P$52</definedName>
    <definedName name="Sub_Class">GHC_CoreIndicators_Measurement!$R$3:$R$52</definedName>
    <definedName name="Text" localSheetId="1">GHC_CoreIndicators_Measurement!$E$3:$E$52</definedName>
    <definedName name="Useage">GHC_CoreIndicators_Measurement!$S$3:$S$52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 i="10" l="1"/>
  <c r="Q5" i="10"/>
  <c r="S36" i="8"/>
  <c r="S37" i="8"/>
  <c r="S35" i="8"/>
  <c r="L36" i="8"/>
  <c r="L37" i="8"/>
  <c r="L38" i="8"/>
  <c r="L39" i="8"/>
  <c r="L40" i="8"/>
  <c r="L41" i="8"/>
  <c r="L42" i="8"/>
  <c r="L35" i="8"/>
  <c r="AI5" i="10"/>
  <c r="AH5" i="10"/>
  <c r="AG5" i="10"/>
  <c r="R13" i="8"/>
  <c r="R12" i="8"/>
  <c r="K12" i="8"/>
  <c r="K14" i="8"/>
  <c r="K13" i="8"/>
  <c r="E19" i="8"/>
  <c r="E18" i="8"/>
  <c r="E17" i="8"/>
  <c r="E16" i="8"/>
  <c r="E15" i="8"/>
  <c r="E14" i="8"/>
  <c r="E13" i="8"/>
  <c r="E12" i="8"/>
  <c r="AD5" i="10" l="1"/>
  <c r="AE5" i="10"/>
  <c r="D36" i="8"/>
  <c r="D35" i="8"/>
  <c r="D18" i="8"/>
  <c r="D17" i="8"/>
  <c r="D16" i="8"/>
  <c r="D14" i="8"/>
  <c r="D13" i="8"/>
  <c r="D12" i="8" l="1"/>
  <c r="AL5" i="10"/>
  <c r="AN5" i="10"/>
  <c r="Z5" i="10"/>
  <c r="Y5" i="10"/>
  <c r="U5" i="10"/>
  <c r="T5" i="10"/>
  <c r="L5" i="10"/>
  <c r="K5" i="10"/>
  <c r="J5" i="10"/>
  <c r="I5" i="10"/>
  <c r="H5" i="10"/>
  <c r="G5" i="10"/>
  <c r="F5" i="10"/>
  <c r="E5" i="10" l="1"/>
  <c r="C60" i="2"/>
  <c r="D60" i="2" s="1"/>
  <c r="B60" i="2"/>
  <c r="B59" i="2"/>
  <c r="C59" i="2"/>
  <c r="D59" i="2" s="1"/>
  <c r="B58" i="2"/>
  <c r="C58" i="2"/>
  <c r="D58" i="2" s="1"/>
  <c r="B57" i="2"/>
  <c r="C57" i="2"/>
  <c r="D57" i="2" s="1"/>
  <c r="B56" i="4"/>
  <c r="C58" i="10" s="1"/>
  <c r="C56" i="4"/>
  <c r="B57" i="4"/>
  <c r="C59" i="10" s="1"/>
  <c r="C57" i="4"/>
  <c r="B58" i="4"/>
  <c r="C60" i="10" s="1"/>
  <c r="C58" i="4"/>
  <c r="B59" i="4"/>
  <c r="C61" i="10" s="1"/>
  <c r="C59" i="4"/>
  <c r="C10" i="2"/>
  <c r="D10" i="2" s="1"/>
  <c r="C5" i="4"/>
  <c r="C4" i="4"/>
  <c r="C54"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5" i="4"/>
  <c r="X5" i="10"/>
  <c r="AB5" i="10"/>
  <c r="AC5" i="10"/>
  <c r="AF5" i="10"/>
  <c r="AK5" i="10"/>
  <c r="W5" i="10"/>
  <c r="N5" i="10"/>
  <c r="O5" i="10"/>
  <c r="P5" i="10"/>
  <c r="B13" i="2"/>
  <c r="C13" i="2"/>
  <c r="D13" i="2" s="1"/>
  <c r="B12" i="4"/>
  <c r="C14" i="10" s="1"/>
  <c r="L4" i="8"/>
  <c r="B55" i="2"/>
  <c r="C55" i="2"/>
  <c r="D55" i="2" s="1"/>
  <c r="B56" i="2"/>
  <c r="C56" i="2"/>
  <c r="D56" i="2" s="1"/>
  <c r="B40" i="2"/>
  <c r="C40" i="2"/>
  <c r="D40" i="2" s="1"/>
  <c r="B41" i="2"/>
  <c r="C41" i="2"/>
  <c r="D41" i="2" s="1"/>
  <c r="B42" i="2"/>
  <c r="C42" i="2"/>
  <c r="D42" i="2" s="1"/>
  <c r="B43" i="2"/>
  <c r="C43" i="2"/>
  <c r="D43" i="2" s="1"/>
  <c r="B44" i="2"/>
  <c r="C44" i="2"/>
  <c r="D44" i="2" s="1"/>
  <c r="B45" i="2"/>
  <c r="C45" i="2"/>
  <c r="D45" i="2" s="1"/>
  <c r="B46" i="2"/>
  <c r="C46" i="2"/>
  <c r="D46" i="2" s="1"/>
  <c r="B47" i="2"/>
  <c r="C47" i="2"/>
  <c r="D47" i="2" s="1"/>
  <c r="B48" i="2"/>
  <c r="C48" i="2"/>
  <c r="B49" i="2"/>
  <c r="C49" i="2"/>
  <c r="D49" i="2" s="1"/>
  <c r="B50" i="2"/>
  <c r="C50" i="2"/>
  <c r="D50" i="2" s="1"/>
  <c r="B51" i="2"/>
  <c r="C51" i="2"/>
  <c r="D51" i="2" s="1"/>
  <c r="B52" i="2"/>
  <c r="C52" i="2"/>
  <c r="D52" i="2" s="1"/>
  <c r="B53" i="2"/>
  <c r="C53" i="2"/>
  <c r="D53" i="2" s="1"/>
  <c r="B54" i="2"/>
  <c r="C54" i="2"/>
  <c r="D54" i="2" s="1"/>
  <c r="B6" i="2"/>
  <c r="C6" i="2"/>
  <c r="D6" i="2" s="1"/>
  <c r="B7" i="2"/>
  <c r="C7" i="2"/>
  <c r="D7" i="2" s="1"/>
  <c r="B8" i="2"/>
  <c r="C8" i="2"/>
  <c r="D8" i="2" s="1"/>
  <c r="B9" i="2"/>
  <c r="C9" i="2"/>
  <c r="D9" i="2" s="1"/>
  <c r="B10" i="2"/>
  <c r="B11" i="2"/>
  <c r="C11" i="2"/>
  <c r="D11" i="2" s="1"/>
  <c r="B12" i="2"/>
  <c r="C12" i="2"/>
  <c r="D12" i="2" s="1"/>
  <c r="B14" i="2"/>
  <c r="C14" i="2"/>
  <c r="D14" i="2" s="1"/>
  <c r="B15" i="2"/>
  <c r="C15" i="2"/>
  <c r="D15" i="2" s="1"/>
  <c r="B16" i="2"/>
  <c r="C16" i="2"/>
  <c r="D16" i="2"/>
  <c r="B17" i="2"/>
  <c r="C17" i="2"/>
  <c r="D17" i="2" s="1"/>
  <c r="B18" i="2"/>
  <c r="C18" i="2"/>
  <c r="D18" i="2" s="1"/>
  <c r="B19" i="2"/>
  <c r="C19" i="2"/>
  <c r="D19" i="2" s="1"/>
  <c r="B20" i="2"/>
  <c r="C20" i="2"/>
  <c r="B21" i="2"/>
  <c r="C21" i="2"/>
  <c r="D21" i="2" s="1"/>
  <c r="B22" i="2"/>
  <c r="C22" i="2"/>
  <c r="D22" i="2" s="1"/>
  <c r="B23" i="2"/>
  <c r="C23" i="2"/>
  <c r="D23" i="2" s="1"/>
  <c r="B24" i="2"/>
  <c r="C24" i="2"/>
  <c r="D24" i="2" s="1"/>
  <c r="B25" i="2"/>
  <c r="C25" i="2"/>
  <c r="D25" i="2" s="1"/>
  <c r="B26" i="2"/>
  <c r="C26" i="2"/>
  <c r="D26" i="2" s="1"/>
  <c r="B27" i="2"/>
  <c r="C27" i="2"/>
  <c r="D27" i="2" s="1"/>
  <c r="B28" i="2"/>
  <c r="C28" i="2"/>
  <c r="D28" i="2" s="1"/>
  <c r="B29" i="2"/>
  <c r="C29" i="2"/>
  <c r="D29" i="2" s="1"/>
  <c r="B30" i="2"/>
  <c r="C30" i="2"/>
  <c r="D30" i="2" s="1"/>
  <c r="B31" i="2"/>
  <c r="C31" i="2"/>
  <c r="D31" i="2" s="1"/>
  <c r="B32" i="2"/>
  <c r="C32" i="2"/>
  <c r="D32" i="2" s="1"/>
  <c r="B33" i="2"/>
  <c r="C33" i="2"/>
  <c r="D33" i="2" s="1"/>
  <c r="B34" i="2"/>
  <c r="C34" i="2"/>
  <c r="D34" i="2" s="1"/>
  <c r="B35" i="2"/>
  <c r="C35" i="2"/>
  <c r="D35" i="2" s="1"/>
  <c r="B36" i="2"/>
  <c r="C36" i="2"/>
  <c r="D36" i="2" s="1"/>
  <c r="B37" i="2"/>
  <c r="C37" i="2"/>
  <c r="D37" i="2" s="1"/>
  <c r="B38" i="2"/>
  <c r="C38" i="2"/>
  <c r="D38" i="2" s="1"/>
  <c r="B39" i="2"/>
  <c r="C39" i="2"/>
  <c r="D39" i="2" s="1"/>
  <c r="C5" i="2"/>
  <c r="B5" i="2"/>
  <c r="B4" i="4"/>
  <c r="C6" i="10" s="1"/>
  <c r="B5" i="4"/>
  <c r="C7" i="10" s="1"/>
  <c r="B6" i="4"/>
  <c r="C8" i="10" s="1"/>
  <c r="B7" i="4"/>
  <c r="C9" i="10" s="1"/>
  <c r="B8" i="4"/>
  <c r="C10" i="10" s="1"/>
  <c r="B9" i="4"/>
  <c r="C11" i="10" s="1"/>
  <c r="B10" i="4"/>
  <c r="C12" i="10" s="1"/>
  <c r="B11" i="4"/>
  <c r="C13" i="10" s="1"/>
  <c r="B13" i="4"/>
  <c r="C15" i="10" s="1"/>
  <c r="B14" i="4"/>
  <c r="C16" i="10" s="1"/>
  <c r="B15" i="4"/>
  <c r="C17" i="10" s="1"/>
  <c r="B16" i="4"/>
  <c r="C18" i="10" s="1"/>
  <c r="B17" i="4"/>
  <c r="C19" i="10" s="1"/>
  <c r="B18" i="4"/>
  <c r="C20" i="10" s="1"/>
  <c r="B19" i="4"/>
  <c r="C21" i="10" s="1"/>
  <c r="B20" i="4"/>
  <c r="C22" i="10" s="1"/>
  <c r="B21" i="4"/>
  <c r="C23" i="10" s="1"/>
  <c r="B22" i="4"/>
  <c r="C24" i="10" s="1"/>
  <c r="B23" i="4"/>
  <c r="C25" i="10" s="1"/>
  <c r="B24" i="4"/>
  <c r="C26" i="10" s="1"/>
  <c r="B25" i="4"/>
  <c r="C27" i="10" s="1"/>
  <c r="B26" i="4"/>
  <c r="C28" i="10" s="1"/>
  <c r="B27" i="4"/>
  <c r="C29" i="10" s="1"/>
  <c r="B28" i="4"/>
  <c r="C30" i="10" s="1"/>
  <c r="B29" i="4"/>
  <c r="C31" i="10" s="1"/>
  <c r="B30" i="4"/>
  <c r="C32" i="10" s="1"/>
  <c r="B31" i="4"/>
  <c r="C33" i="10" s="1"/>
  <c r="B32" i="4"/>
  <c r="C34" i="10" s="1"/>
  <c r="B33" i="4"/>
  <c r="C35" i="10" s="1"/>
  <c r="B34" i="4"/>
  <c r="C36" i="10" s="1"/>
  <c r="B35" i="4"/>
  <c r="C37" i="10" s="1"/>
  <c r="B36" i="4"/>
  <c r="C38" i="10" s="1"/>
  <c r="B37" i="4"/>
  <c r="C39" i="10" s="1"/>
  <c r="B38" i="4"/>
  <c r="C40" i="10" s="1"/>
  <c r="B39" i="4"/>
  <c r="C41" i="10" s="1"/>
  <c r="B40" i="4"/>
  <c r="C42" i="10" s="1"/>
  <c r="B41" i="4"/>
  <c r="C43" i="10" s="1"/>
  <c r="B42" i="4"/>
  <c r="C44" i="10" s="1"/>
  <c r="B43" i="4"/>
  <c r="C45" i="10" s="1"/>
  <c r="B44" i="4"/>
  <c r="C46" i="10" s="1"/>
  <c r="B45" i="4"/>
  <c r="C47" i="10" s="1"/>
  <c r="B46" i="4"/>
  <c r="C48" i="10" s="1"/>
  <c r="B47" i="4"/>
  <c r="C49" i="10" s="1"/>
  <c r="B48" i="4"/>
  <c r="C50" i="10" s="1"/>
  <c r="B49" i="4"/>
  <c r="C51" i="10" s="1"/>
  <c r="B50" i="4"/>
  <c r="C52" i="10" s="1"/>
  <c r="B51" i="4"/>
  <c r="C53" i="10" s="1"/>
  <c r="B52" i="4"/>
  <c r="C54" i="10" s="1"/>
  <c r="B53" i="4"/>
  <c r="C55" i="10" s="1"/>
  <c r="B54" i="4"/>
  <c r="C56" i="10" s="1"/>
  <c r="B55" i="4"/>
  <c r="C57" i="10" s="1"/>
  <c r="D20" i="2"/>
  <c r="D48" i="2"/>
  <c r="M40" i="8"/>
  <c r="M42" i="8"/>
  <c r="F36" i="8"/>
  <c r="T36" i="8"/>
  <c r="F18" i="8"/>
  <c r="L12" i="8"/>
  <c r="M36" i="8"/>
  <c r="F13" i="8"/>
  <c r="M35" i="8"/>
  <c r="F12" i="8"/>
  <c r="T35" i="8"/>
  <c r="M38" i="8"/>
  <c r="M37" i="8"/>
  <c r="M41" i="8"/>
  <c r="F16" i="8"/>
  <c r="L13" i="8"/>
  <c r="F19" i="8"/>
  <c r="M39" i="8"/>
  <c r="F14" i="8"/>
  <c r="T37" i="8"/>
  <c r="S12" i="8"/>
  <c r="L14" i="8"/>
  <c r="S13" i="8"/>
  <c r="F15" i="8"/>
  <c r="F17" i="8"/>
  <c r="O4" i="4" l="1"/>
  <c r="D59" i="10"/>
  <c r="O53" i="4"/>
  <c r="H53" i="4"/>
  <c r="L53" i="4"/>
  <c r="O41" i="4"/>
  <c r="H41" i="4"/>
  <c r="L41" i="4"/>
  <c r="O29" i="4"/>
  <c r="H29" i="4"/>
  <c r="L29" i="4"/>
  <c r="O17" i="4"/>
  <c r="H17" i="4"/>
  <c r="L17" i="4"/>
  <c r="L54" i="4"/>
  <c r="O54" i="4"/>
  <c r="H54" i="4"/>
  <c r="H16" i="4"/>
  <c r="L16" i="4"/>
  <c r="O16" i="4"/>
  <c r="H51" i="4"/>
  <c r="L51" i="4"/>
  <c r="O51" i="4"/>
  <c r="H39" i="4"/>
  <c r="L39" i="4"/>
  <c r="O39" i="4"/>
  <c r="H27" i="4"/>
  <c r="L27" i="4"/>
  <c r="O27" i="4"/>
  <c r="H15" i="4"/>
  <c r="L15" i="4"/>
  <c r="O15" i="4"/>
  <c r="H5" i="4"/>
  <c r="O5" i="4"/>
  <c r="L5" i="4"/>
  <c r="L50" i="4"/>
  <c r="O50" i="4"/>
  <c r="H50" i="4"/>
  <c r="L38" i="4"/>
  <c r="H38" i="4"/>
  <c r="O38" i="4"/>
  <c r="O26" i="4"/>
  <c r="L26" i="4"/>
  <c r="H26" i="4"/>
  <c r="H14" i="4"/>
  <c r="L14" i="4"/>
  <c r="O14" i="4"/>
  <c r="H49" i="4"/>
  <c r="L49" i="4"/>
  <c r="O49" i="4"/>
  <c r="H37" i="4"/>
  <c r="L37" i="4"/>
  <c r="O37" i="4"/>
  <c r="H25" i="4"/>
  <c r="L25" i="4"/>
  <c r="O25" i="4"/>
  <c r="O13" i="4"/>
  <c r="L13" i="4"/>
  <c r="H13" i="4"/>
  <c r="H28" i="4"/>
  <c r="L28" i="4"/>
  <c r="O28" i="4"/>
  <c r="L48" i="4"/>
  <c r="O48" i="4"/>
  <c r="H48" i="4"/>
  <c r="H36" i="4"/>
  <c r="L36" i="4"/>
  <c r="O36" i="4"/>
  <c r="L24" i="4"/>
  <c r="H24" i="4"/>
  <c r="O24" i="4"/>
  <c r="L12" i="4"/>
  <c r="H12" i="4"/>
  <c r="O12" i="4"/>
  <c r="L59" i="4"/>
  <c r="O59" i="4"/>
  <c r="H59" i="4"/>
  <c r="L47" i="4"/>
  <c r="O47" i="4"/>
  <c r="H47" i="4"/>
  <c r="L35" i="4"/>
  <c r="H35" i="4"/>
  <c r="O35" i="4"/>
  <c r="L23" i="4"/>
  <c r="O23" i="4"/>
  <c r="H23" i="4"/>
  <c r="L11" i="4"/>
  <c r="O11" i="4"/>
  <c r="H11" i="4"/>
  <c r="H52" i="4"/>
  <c r="L52" i="4"/>
  <c r="O52" i="4"/>
  <c r="L46" i="4"/>
  <c r="H46" i="4"/>
  <c r="O46" i="4"/>
  <c r="H34" i="4"/>
  <c r="L34" i="4"/>
  <c r="O34" i="4"/>
  <c r="L22" i="4"/>
  <c r="O22" i="4"/>
  <c r="H22" i="4"/>
  <c r="L10" i="4"/>
  <c r="O10" i="4"/>
  <c r="H10" i="4"/>
  <c r="L58" i="4"/>
  <c r="O58" i="4"/>
  <c r="H58" i="4"/>
  <c r="L45" i="4"/>
  <c r="H45" i="4"/>
  <c r="O45" i="4"/>
  <c r="L33" i="4"/>
  <c r="H33" i="4"/>
  <c r="O33" i="4"/>
  <c r="L21" i="4"/>
  <c r="H21" i="4"/>
  <c r="O21" i="4"/>
  <c r="L9" i="4"/>
  <c r="O9" i="4"/>
  <c r="H9" i="4"/>
  <c r="H44" i="4"/>
  <c r="O44" i="4"/>
  <c r="L44" i="4"/>
  <c r="H32" i="4"/>
  <c r="L32" i="4"/>
  <c r="O32" i="4"/>
  <c r="O20" i="4"/>
  <c r="L20" i="4"/>
  <c r="H20" i="4"/>
  <c r="L8" i="4"/>
  <c r="O8" i="4"/>
  <c r="H8" i="4"/>
  <c r="L57" i="4"/>
  <c r="H57" i="4"/>
  <c r="O57" i="4"/>
  <c r="H40" i="4"/>
  <c r="L40" i="4"/>
  <c r="O40" i="4"/>
  <c r="L43" i="4"/>
  <c r="O43" i="4"/>
  <c r="H43" i="4"/>
  <c r="O31" i="4"/>
  <c r="H31" i="4"/>
  <c r="L31" i="4"/>
  <c r="O19" i="4"/>
  <c r="L19" i="4"/>
  <c r="H19" i="4"/>
  <c r="O7" i="4"/>
  <c r="L7" i="4"/>
  <c r="H7" i="4"/>
  <c r="O55" i="4"/>
  <c r="H55" i="4"/>
  <c r="L55" i="4"/>
  <c r="O42" i="4"/>
  <c r="H42" i="4"/>
  <c r="L42" i="4"/>
  <c r="O30" i="4"/>
  <c r="H30" i="4"/>
  <c r="L30" i="4"/>
  <c r="O18" i="4"/>
  <c r="L18" i="4"/>
  <c r="H18" i="4"/>
  <c r="O6" i="4"/>
  <c r="H6" i="4"/>
  <c r="L6" i="4"/>
  <c r="L56" i="4"/>
  <c r="O56" i="4"/>
  <c r="H56" i="4"/>
  <c r="D5" i="2"/>
  <c r="H4" i="4"/>
  <c r="L4" i="4"/>
  <c r="D11" i="10"/>
  <c r="D47" i="10"/>
  <c r="D35" i="10"/>
  <c r="D23" i="10"/>
  <c r="D21" i="10"/>
  <c r="D43" i="10"/>
  <c r="D19" i="10"/>
  <c r="D51" i="10"/>
  <c r="D39" i="10"/>
  <c r="D27" i="10"/>
  <c r="D15" i="10"/>
  <c r="D50" i="10"/>
  <c r="D38" i="10"/>
  <c r="D26" i="10"/>
  <c r="D14" i="10"/>
  <c r="D49" i="10"/>
  <c r="D37" i="10"/>
  <c r="D25" i="10"/>
  <c r="D13" i="10"/>
  <c r="D61" i="10"/>
  <c r="D48" i="10"/>
  <c r="D36" i="10"/>
  <c r="D24" i="10"/>
  <c r="D12" i="10"/>
  <c r="D46" i="10"/>
  <c r="D34" i="10"/>
  <c r="D22" i="10"/>
  <c r="D10" i="10"/>
  <c r="D60" i="10"/>
  <c r="D33" i="10"/>
  <c r="D57" i="10"/>
  <c r="D44" i="10"/>
  <c r="D32" i="10"/>
  <c r="D20" i="10"/>
  <c r="D8" i="10"/>
  <c r="D55" i="10"/>
  <c r="D31" i="10"/>
  <c r="D56" i="10"/>
  <c r="D58" i="10"/>
  <c r="D54" i="10"/>
  <c r="D42" i="10"/>
  <c r="D30" i="10"/>
  <c r="D18" i="10"/>
  <c r="D45" i="10"/>
  <c r="D9" i="10"/>
  <c r="D53" i="10"/>
  <c r="D41" i="10"/>
  <c r="D29" i="10"/>
  <c r="D17" i="10"/>
  <c r="D7" i="10"/>
  <c r="D52" i="10"/>
  <c r="D40" i="10"/>
  <c r="D28" i="10"/>
  <c r="D16" i="10"/>
  <c r="D6" i="10"/>
  <c r="R24" i="10"/>
  <c r="R41" i="10"/>
  <c r="R55" i="10"/>
  <c r="R35" i="10"/>
  <c r="R23" i="10"/>
  <c r="R28" i="10"/>
  <c r="R13" i="10"/>
  <c r="R32" i="10"/>
  <c r="R50" i="10"/>
  <c r="R58" i="10"/>
  <c r="R40" i="10"/>
  <c r="R33" i="10"/>
  <c r="R6" i="10"/>
  <c r="R48" i="10"/>
  <c r="R38" i="10"/>
  <c r="R17" i="10"/>
  <c r="R54" i="10"/>
  <c r="R43" i="10"/>
  <c r="R51" i="10"/>
  <c r="R53" i="10"/>
  <c r="R26" i="10"/>
  <c r="R56" i="10"/>
  <c r="R14" i="10"/>
  <c r="R21" i="10"/>
  <c r="R16" i="10"/>
  <c r="R44" i="10"/>
  <c r="R27" i="10"/>
  <c r="R36" i="10"/>
  <c r="Q24" i="10"/>
  <c r="Q41" i="10"/>
  <c r="Q59" i="10"/>
  <c r="Q12" i="10"/>
  <c r="Q29" i="10"/>
  <c r="Q56" i="10"/>
  <c r="Q58" i="10"/>
  <c r="Q10" i="10"/>
  <c r="Q21" i="10"/>
  <c r="Q28" i="10"/>
  <c r="Q30" i="10"/>
  <c r="Q18" i="10"/>
  <c r="Q45" i="10"/>
  <c r="Q27" i="10"/>
  <c r="Q38" i="10"/>
  <c r="Q31" i="10"/>
  <c r="Q47" i="10"/>
  <c r="Q7" i="10"/>
  <c r="Q22" i="10"/>
  <c r="Q49" i="10"/>
  <c r="Q37" i="10"/>
  <c r="Q43" i="10"/>
  <c r="Q19" i="10"/>
  <c r="Q6" i="10"/>
  <c r="Q39" i="10"/>
  <c r="Q36" i="10"/>
  <c r="Q44" i="10"/>
  <c r="Q20" i="10"/>
  <c r="R15" i="10"/>
  <c r="R8" i="10"/>
  <c r="R12" i="10"/>
  <c r="R31" i="10"/>
  <c r="R52" i="10"/>
  <c r="R37" i="10"/>
  <c r="R30" i="10"/>
  <c r="R61" i="10"/>
  <c r="R59" i="10"/>
  <c r="R29" i="10"/>
  <c r="R49" i="10"/>
  <c r="R60" i="10"/>
  <c r="R19" i="10"/>
  <c r="R45" i="10"/>
  <c r="R11" i="10"/>
  <c r="R46" i="10"/>
  <c r="R22" i="10"/>
  <c r="R42" i="10"/>
  <c r="R57" i="10"/>
  <c r="R9" i="10"/>
  <c r="R47" i="10"/>
  <c r="R34" i="10"/>
  <c r="R7" i="10"/>
  <c r="R10" i="10"/>
  <c r="R25" i="10"/>
  <c r="R18" i="10"/>
  <c r="R39" i="10"/>
  <c r="R20" i="10"/>
  <c r="Q15" i="10"/>
  <c r="Q8" i="10"/>
  <c r="Q53" i="10"/>
  <c r="Q50" i="10"/>
  <c r="Q55" i="10"/>
  <c r="Q26" i="10"/>
  <c r="Q14" i="10"/>
  <c r="Q23" i="10"/>
  <c r="Q40" i="10"/>
  <c r="Q42" i="10"/>
  <c r="Q25" i="10"/>
  <c r="Q13" i="10"/>
  <c r="Q51" i="10"/>
  <c r="Q48" i="10"/>
  <c r="Q11" i="10"/>
  <c r="Q46" i="10"/>
  <c r="Q17" i="10"/>
  <c r="Q34" i="10"/>
  <c r="Q35" i="10"/>
  <c r="Q52" i="10"/>
  <c r="Q54" i="10"/>
  <c r="Q60" i="10"/>
  <c r="Q33" i="10"/>
  <c r="Q57" i="10"/>
  <c r="Q61" i="10"/>
  <c r="Q9" i="10"/>
  <c r="Q16" i="10"/>
  <c r="Q32" i="10"/>
  <c r="N41" i="8" l="1"/>
  <c r="N40" i="8"/>
  <c r="AI27" i="10"/>
  <c r="AI18" i="10"/>
  <c r="AH10" i="10"/>
  <c r="AG26" i="10"/>
  <c r="AI45" i="10"/>
  <c r="AI60" i="10"/>
  <c r="AH46" i="10"/>
  <c r="AG27" i="10"/>
  <c r="AH14" i="10"/>
  <c r="AG19" i="10"/>
  <c r="AG55" i="10"/>
  <c r="AI13" i="10"/>
  <c r="AG47" i="10"/>
  <c r="AI21" i="10"/>
  <c r="AH8" i="10"/>
  <c r="AH7" i="10"/>
  <c r="AH33" i="10"/>
  <c r="AI12" i="10"/>
  <c r="AG13" i="10"/>
  <c r="AH47" i="10"/>
  <c r="AG21" i="10"/>
  <c r="AI15" i="10"/>
  <c r="AI52" i="10"/>
  <c r="AI6" i="10"/>
  <c r="AG11" i="10"/>
  <c r="AH16" i="10"/>
  <c r="AH41" i="10"/>
  <c r="AG54" i="10"/>
  <c r="AH15" i="10"/>
  <c r="AG56" i="10"/>
  <c r="AG43" i="10"/>
  <c r="AG50" i="10"/>
  <c r="AG30" i="10"/>
  <c r="AG24" i="10"/>
  <c r="AI49" i="10"/>
  <c r="AH20" i="10"/>
  <c r="AH22" i="10"/>
  <c r="AH57" i="10"/>
  <c r="AH29" i="10"/>
  <c r="AI30" i="10"/>
  <c r="AH24" i="10"/>
  <c r="AG49" i="10"/>
  <c r="AH27" i="10"/>
  <c r="AH18" i="10"/>
  <c r="AI10" i="10"/>
  <c r="AI26" i="10"/>
  <c r="AH45" i="10"/>
  <c r="AH60" i="10"/>
  <c r="AI46" i="10"/>
  <c r="AG32" i="10"/>
  <c r="AG10" i="10"/>
  <c r="AG45" i="10"/>
  <c r="AG46" i="10"/>
  <c r="AI42" i="10"/>
  <c r="AG36" i="10"/>
  <c r="AI35" i="10"/>
  <c r="AI48" i="10"/>
  <c r="AI23" i="10"/>
  <c r="AH61" i="10"/>
  <c r="AH38" i="10"/>
  <c r="AH42" i="10"/>
  <c r="AH36" i="10"/>
  <c r="AH35" i="10"/>
  <c r="AI44" i="10"/>
  <c r="AI56" i="10"/>
  <c r="AH43" i="10"/>
  <c r="AI50" i="10"/>
  <c r="AH37" i="10"/>
  <c r="AH9" i="10"/>
  <c r="AH17" i="10"/>
  <c r="AG44" i="10"/>
  <c r="AG52" i="10"/>
  <c r="AH6" i="10"/>
  <c r="AI11" i="10"/>
  <c r="AI40" i="10"/>
  <c r="AG39" i="10"/>
  <c r="AG31" i="10"/>
  <c r="AH51" i="10"/>
  <c r="AH34" i="10"/>
  <c r="AH28" i="10"/>
  <c r="AH59" i="10"/>
  <c r="AG40" i="10"/>
  <c r="AH39" i="10"/>
  <c r="AH31" i="10"/>
  <c r="U47" i="10"/>
  <c r="AB42" i="10"/>
  <c r="AK59" i="10"/>
  <c r="W53" i="10"/>
  <c r="X19" i="10"/>
  <c r="F7" i="10"/>
  <c r="AE31" i="10"/>
  <c r="AF12" i="10"/>
  <c r="K23" i="10"/>
  <c r="K48" i="10"/>
  <c r="Y46" i="10"/>
  <c r="AK52" i="10"/>
  <c r="W14" i="10"/>
  <c r="Y28" i="10"/>
  <c r="F47" i="10"/>
  <c r="Z7" i="10"/>
  <c r="H21" i="10"/>
  <c r="P14" i="10"/>
  <c r="AN45" i="10"/>
  <c r="P47" i="10"/>
  <c r="X54" i="10"/>
  <c r="O6" i="10"/>
  <c r="W41" i="10"/>
  <c r="AB34" i="10"/>
  <c r="J32" i="10"/>
  <c r="K6" i="10"/>
  <c r="AB6" i="10"/>
  <c r="J45" i="10"/>
  <c r="G24" i="10"/>
  <c r="H36" i="10"/>
  <c r="N32" i="10"/>
  <c r="E27" i="10"/>
  <c r="L6" i="10"/>
  <c r="O23" i="10"/>
  <c r="L15" i="10"/>
  <c r="AE7" i="10"/>
  <c r="AB44" i="10"/>
  <c r="U33" i="10"/>
  <c r="N20" i="10"/>
  <c r="O55" i="10"/>
  <c r="G53" i="10"/>
  <c r="K16" i="10"/>
  <c r="F46" i="10"/>
  <c r="AI32" i="10"/>
  <c r="AG14" i="10"/>
  <c r="AH19" i="10"/>
  <c r="AI55" i="10"/>
  <c r="AG53" i="10"/>
  <c r="AG48" i="10"/>
  <c r="AI61" i="10"/>
  <c r="AG42" i="10"/>
  <c r="AG35" i="10"/>
  <c r="AH23" i="10"/>
  <c r="AG38" i="10"/>
  <c r="AI41" i="10"/>
  <c r="AG15" i="10"/>
  <c r="AG6" i="10"/>
  <c r="AG37" i="10"/>
  <c r="AG17" i="10"/>
  <c r="AI22" i="10"/>
  <c r="AI29" i="10"/>
  <c r="AI24" i="10"/>
  <c r="AG20" i="10"/>
  <c r="AG57" i="10"/>
  <c r="AH32" i="10"/>
  <c r="AI14" i="10"/>
  <c r="AI19" i="10"/>
  <c r="AH55" i="10"/>
  <c r="AH26" i="10"/>
  <c r="AI8" i="10"/>
  <c r="AI33" i="10"/>
  <c r="AH13" i="10"/>
  <c r="AH21" i="10"/>
  <c r="AG7" i="10"/>
  <c r="AH12" i="10"/>
  <c r="AI9" i="10"/>
  <c r="AH44" i="10"/>
  <c r="AI43" i="10"/>
  <c r="AG16" i="10"/>
  <c r="AH54" i="10"/>
  <c r="AI34" i="10"/>
  <c r="AI59" i="10"/>
  <c r="AI39" i="10"/>
  <c r="AG51" i="10"/>
  <c r="AG28" i="10"/>
  <c r="F32" i="10"/>
  <c r="L39" i="10"/>
  <c r="AN56" i="10"/>
  <c r="U43" i="10"/>
  <c r="AN33" i="10"/>
  <c r="J36" i="10"/>
  <c r="U6" i="10"/>
  <c r="AE36" i="10"/>
  <c r="AL51" i="10"/>
  <c r="Y33" i="10"/>
  <c r="Z33" i="10"/>
  <c r="K19" i="10"/>
  <c r="U51" i="10"/>
  <c r="F21" i="10"/>
  <c r="U57" i="10"/>
  <c r="H10" i="10"/>
  <c r="P19" i="10"/>
  <c r="K14" i="10"/>
  <c r="X13" i="10"/>
  <c r="Z61" i="10"/>
  <c r="Y37" i="10"/>
  <c r="AD52" i="10"/>
  <c r="E36" i="10"/>
  <c r="AK16" i="10"/>
  <c r="O52" i="10"/>
  <c r="AE35" i="10"/>
  <c r="W30" i="10"/>
  <c r="P40" i="10"/>
  <c r="AE10" i="10"/>
  <c r="AF53" i="10"/>
  <c r="O21" i="10"/>
  <c r="J50" i="10"/>
  <c r="AB55" i="10"/>
  <c r="N10" i="10"/>
  <c r="AB35" i="10"/>
  <c r="Y31" i="10"/>
  <c r="J21" i="10"/>
  <c r="AL37" i="10"/>
  <c r="N47" i="10"/>
  <c r="H48" i="10"/>
  <c r="Z56" i="10"/>
  <c r="J34" i="10"/>
  <c r="K22" i="10"/>
  <c r="AN13" i="10"/>
  <c r="N54" i="10"/>
  <c r="AN47" i="10"/>
  <c r="P24" i="10"/>
  <c r="AF24" i="10"/>
  <c r="G7" i="10"/>
  <c r="Y41" i="10"/>
  <c r="Z21" i="10"/>
  <c r="G60" i="10"/>
  <c r="I19" i="10"/>
  <c r="N27" i="10"/>
  <c r="AB13" i="10"/>
  <c r="L41" i="10"/>
  <c r="E54" i="10"/>
  <c r="AE25" i="10"/>
  <c r="G23" i="10"/>
  <c r="AF59" i="10"/>
  <c r="Y56" i="10"/>
  <c r="E49" i="10"/>
  <c r="AK39" i="10"/>
  <c r="J11" i="10"/>
  <c r="O17" i="10"/>
  <c r="G25" i="10"/>
  <c r="AF42" i="10"/>
  <c r="P53" i="10"/>
  <c r="O54" i="10"/>
  <c r="AC43" i="10"/>
  <c r="F45" i="10"/>
  <c r="L55" i="10"/>
  <c r="Y21" i="10"/>
  <c r="AK26" i="10"/>
  <c r="AE34" i="10"/>
  <c r="AL20" i="10"/>
  <c r="P48" i="10"/>
  <c r="O38" i="10"/>
  <c r="AD8" i="10"/>
  <c r="AN40" i="10"/>
  <c r="U54" i="10"/>
  <c r="T21" i="10"/>
  <c r="F17" i="10"/>
  <c r="Z43" i="10"/>
  <c r="AC19" i="10"/>
  <c r="N13" i="10"/>
  <c r="J46" i="10"/>
  <c r="AF49" i="10"/>
  <c r="N33" i="10"/>
  <c r="K24" i="10"/>
  <c r="AD6" i="10"/>
  <c r="I26" i="10"/>
  <c r="AL8" i="10"/>
  <c r="H54" i="10"/>
  <c r="AE8" i="10"/>
  <c r="AK14" i="10"/>
  <c r="T34" i="10"/>
  <c r="H49" i="10"/>
  <c r="T54" i="10"/>
  <c r="K52" i="10"/>
  <c r="W23" i="10"/>
  <c r="I56" i="10"/>
  <c r="AC38" i="10"/>
  <c r="Z52" i="10"/>
  <c r="N56" i="10"/>
  <c r="AF7" i="10"/>
  <c r="K36" i="10"/>
  <c r="AC60" i="10"/>
  <c r="E40" i="10"/>
  <c r="F34" i="10"/>
  <c r="W11" i="10"/>
  <c r="AF20" i="10"/>
  <c r="W13" i="10"/>
  <c r="AL52" i="10"/>
  <c r="AD15" i="10"/>
  <c r="T11" i="10"/>
  <c r="I43" i="10"/>
  <c r="J53" i="10"/>
  <c r="O48" i="10"/>
  <c r="P52" i="10"/>
  <c r="I37" i="10"/>
  <c r="AD33" i="10"/>
  <c r="E14" i="10"/>
  <c r="H60" i="10"/>
  <c r="H34" i="10"/>
  <c r="AN52" i="10"/>
  <c r="H32" i="10"/>
  <c r="J22" i="10"/>
  <c r="T15" i="10"/>
  <c r="G38" i="10"/>
  <c r="I33" i="10"/>
  <c r="X60" i="10"/>
  <c r="AF61" i="10"/>
  <c r="K7" i="10"/>
  <c r="AF27" i="10"/>
  <c r="AE43" i="10"/>
  <c r="T52" i="10"/>
  <c r="P12" i="10"/>
  <c r="K30" i="10"/>
  <c r="L44" i="10"/>
  <c r="O57" i="10"/>
  <c r="AD26" i="10"/>
  <c r="AD11" i="10"/>
  <c r="H45" i="10"/>
  <c r="H31" i="10"/>
  <c r="Y53" i="10"/>
  <c r="AL26" i="10"/>
  <c r="I53" i="10"/>
  <c r="K13" i="10"/>
  <c r="AE42" i="10"/>
  <c r="AB46" i="10"/>
  <c r="H59" i="10"/>
  <c r="P29" i="10"/>
  <c r="I45" i="10"/>
  <c r="AK47" i="10"/>
  <c r="T31" i="10"/>
  <c r="U9" i="10"/>
  <c r="AF50" i="10"/>
  <c r="AE16" i="10"/>
  <c r="AC20" i="10"/>
  <c r="X30" i="10"/>
  <c r="T49" i="10"/>
  <c r="AD58" i="10"/>
  <c r="AB15" i="10"/>
  <c r="F15" i="10"/>
  <c r="Z31" i="10"/>
  <c r="U21" i="10"/>
  <c r="AD13" i="10"/>
  <c r="I11" i="10"/>
  <c r="Z6" i="10"/>
  <c r="E12" i="10"/>
  <c r="Z50" i="10"/>
  <c r="AE56" i="10"/>
  <c r="Z44" i="10"/>
  <c r="T27" i="10"/>
  <c r="AK57" i="10"/>
  <c r="X10" i="10"/>
  <c r="G42" i="10"/>
  <c r="U31" i="10"/>
  <c r="Y14" i="10"/>
  <c r="O24" i="10"/>
  <c r="AB16" i="10"/>
  <c r="J17" i="10"/>
  <c r="Y6" i="10"/>
  <c r="H23" i="10"/>
  <c r="W36" i="10"/>
  <c r="AE22" i="10"/>
  <c r="F25" i="10"/>
  <c r="AC52" i="10"/>
  <c r="J47" i="10"/>
  <c r="X56" i="10"/>
  <c r="F39" i="10"/>
  <c r="X17" i="10"/>
  <c r="AF52" i="10"/>
  <c r="W55" i="10"/>
  <c r="P13" i="10"/>
  <c r="AK56" i="10"/>
  <c r="X25" i="10"/>
  <c r="AK40" i="10"/>
  <c r="E22" i="10"/>
  <c r="AN44" i="10"/>
  <c r="X43" i="10"/>
  <c r="AC37" i="10"/>
  <c r="H57" i="10"/>
  <c r="AK18" i="10"/>
  <c r="AB61" i="10"/>
  <c r="F41" i="10"/>
  <c r="P30" i="10"/>
  <c r="AD10" i="10"/>
  <c r="E58" i="10"/>
  <c r="AC50" i="10"/>
  <c r="W52" i="10"/>
  <c r="AD40" i="10"/>
  <c r="AI25" i="10"/>
  <c r="AH58" i="10"/>
  <c r="AI58" i="10"/>
  <c r="AI38" i="10"/>
  <c r="AH48" i="10"/>
  <c r="AI16" i="10"/>
  <c r="AH52" i="10"/>
  <c r="AG9" i="10"/>
  <c r="AI57" i="10"/>
  <c r="AH49" i="10"/>
  <c r="AG29" i="10"/>
  <c r="AH53" i="10"/>
  <c r="AG18" i="10"/>
  <c r="AI7" i="10"/>
  <c r="AI47" i="10"/>
  <c r="AG33" i="10"/>
  <c r="AI17" i="10"/>
  <c r="AH50" i="10"/>
  <c r="AI20" i="10"/>
  <c r="AH40" i="10"/>
  <c r="AG34" i="10"/>
  <c r="AE12" i="10"/>
  <c r="AK33" i="10"/>
  <c r="G15" i="10"/>
  <c r="F10" i="10"/>
  <c r="AC35" i="10"/>
  <c r="N53" i="10"/>
  <c r="U59" i="10"/>
  <c r="G20" i="10"/>
  <c r="F40" i="10"/>
  <c r="T25" i="10"/>
  <c r="AC7" i="10"/>
  <c r="T38" i="10"/>
  <c r="O13" i="10"/>
  <c r="AF54" i="10"/>
  <c r="N44" i="10"/>
  <c r="AK20" i="10"/>
  <c r="Z48" i="10"/>
  <c r="W9" i="10"/>
  <c r="Y58" i="10"/>
  <c r="O14" i="10"/>
  <c r="AF57" i="10"/>
  <c r="F12" i="10"/>
  <c r="F37" i="10"/>
  <c r="K26" i="10"/>
  <c r="H52" i="10"/>
  <c r="Y22" i="10"/>
  <c r="AF16" i="10"/>
  <c r="AD44" i="10"/>
  <c r="P7" i="10"/>
  <c r="J49" i="10"/>
  <c r="F54" i="10"/>
  <c r="AD27" i="10"/>
  <c r="G14" i="10"/>
  <c r="AK10" i="10"/>
  <c r="X12" i="10"/>
  <c r="Y24" i="10"/>
  <c r="T40" i="10"/>
  <c r="AC33" i="10"/>
  <c r="Y35" i="10"/>
  <c r="J61" i="10"/>
  <c r="N60" i="10"/>
  <c r="F30" i="10"/>
  <c r="AC42" i="10"/>
  <c r="U34" i="10"/>
  <c r="AK31" i="10"/>
  <c r="U55" i="10"/>
  <c r="H37" i="10"/>
  <c r="AC15" i="10"/>
  <c r="W49" i="10"/>
  <c r="AD53" i="10"/>
  <c r="Y45" i="10"/>
  <c r="U12" i="10"/>
  <c r="X42" i="10"/>
  <c r="X52" i="10"/>
  <c r="AL32" i="10"/>
  <c r="O31" i="10"/>
  <c r="F42" i="10"/>
  <c r="AB45" i="10"/>
  <c r="J48" i="10"/>
  <c r="AC10" i="10"/>
  <c r="AK50" i="10"/>
  <c r="AN58" i="10"/>
  <c r="X14" i="10"/>
  <c r="X46" i="10"/>
  <c r="F27" i="10"/>
  <c r="AN36" i="10"/>
  <c r="W31" i="10"/>
  <c r="AB57" i="10"/>
  <c r="G33" i="10"/>
  <c r="G19" i="10"/>
  <c r="Z30" i="10"/>
  <c r="AL56" i="10"/>
  <c r="AF48" i="10"/>
  <c r="AN32" i="10"/>
  <c r="Z19" i="10"/>
  <c r="H35" i="10"/>
  <c r="N23" i="10"/>
  <c r="Z26" i="10"/>
  <c r="AF23" i="10"/>
  <c r="Z18" i="10"/>
  <c r="AC29" i="10"/>
  <c r="I29" i="10"/>
  <c r="O56" i="10"/>
  <c r="X41" i="10"/>
  <c r="AB39" i="10"/>
  <c r="G55" i="10"/>
  <c r="J10" i="10"/>
  <c r="I18" i="10"/>
  <c r="AE39" i="10"/>
  <c r="AC55" i="10"/>
  <c r="G11" i="10"/>
  <c r="J31" i="10"/>
  <c r="G10" i="10"/>
  <c r="Y16" i="10"/>
  <c r="N52" i="10"/>
  <c r="G18" i="10"/>
  <c r="X27" i="10"/>
  <c r="O36" i="10"/>
  <c r="AE20" i="10"/>
  <c r="AB14" i="10"/>
  <c r="K59" i="10"/>
  <c r="U30" i="10"/>
  <c r="O58" i="10"/>
  <c r="X29" i="10"/>
  <c r="W17" i="10"/>
  <c r="I32" i="10"/>
  <c r="AE48" i="10"/>
  <c r="AL19" i="10"/>
  <c r="J18" i="10"/>
  <c r="T61" i="10"/>
  <c r="AL17" i="10"/>
  <c r="T50" i="10"/>
  <c r="I44" i="10"/>
  <c r="G31" i="10"/>
  <c r="E29" i="10"/>
  <c r="L32" i="10"/>
  <c r="AN8" i="10"/>
  <c r="N57" i="10"/>
  <c r="AF36" i="10"/>
  <c r="Y27" i="10"/>
  <c r="H13" i="10"/>
  <c r="W46" i="10"/>
  <c r="X55" i="10"/>
  <c r="N29" i="10"/>
  <c r="J30" i="10"/>
  <c r="E56" i="10"/>
  <c r="P50" i="10"/>
  <c r="U56" i="10"/>
  <c r="AL43" i="10"/>
  <c r="O45" i="10"/>
  <c r="P43" i="10"/>
  <c r="AF9" i="10"/>
  <c r="E20" i="10"/>
  <c r="Y34" i="10"/>
  <c r="AK22" i="10"/>
  <c r="AK32" i="10"/>
  <c r="Z36" i="10"/>
  <c r="AK29" i="10"/>
  <c r="AK51" i="10"/>
  <c r="E50" i="10"/>
  <c r="AE15" i="10"/>
  <c r="L37" i="10"/>
  <c r="P59" i="10"/>
  <c r="H6" i="10"/>
  <c r="W44" i="10"/>
  <c r="T17" i="10"/>
  <c r="AN19" i="10"/>
  <c r="Y43" i="10"/>
  <c r="U60" i="10"/>
  <c r="Z34" i="10"/>
  <c r="I58" i="10"/>
  <c r="O42" i="10"/>
  <c r="E53" i="10"/>
  <c r="J60" i="10"/>
  <c r="T24" i="10"/>
  <c r="AF55" i="10"/>
  <c r="W29" i="10"/>
  <c r="N8" i="10"/>
  <c r="AC48" i="10"/>
  <c r="L29" i="10"/>
  <c r="AK25" i="10"/>
  <c r="I15" i="10"/>
  <c r="W26" i="10"/>
  <c r="AB43" i="10"/>
  <c r="G52" i="10"/>
  <c r="J9" i="10"/>
  <c r="AC46" i="10"/>
  <c r="AL42" i="10"/>
  <c r="J54" i="10"/>
  <c r="W38" i="10"/>
  <c r="Y44" i="10"/>
  <c r="AD37" i="10"/>
  <c r="F35" i="10"/>
  <c r="AB48" i="10"/>
  <c r="AB25" i="10"/>
  <c r="I30" i="10"/>
  <c r="AL40" i="10"/>
  <c r="O40" i="10"/>
  <c r="J33" i="10"/>
  <c r="I21" i="10"/>
  <c r="AN26" i="10"/>
  <c r="J58" i="10"/>
  <c r="G45" i="10"/>
  <c r="U46" i="10"/>
  <c r="Y13" i="10"/>
  <c r="AL58" i="10"/>
  <c r="AL27" i="10"/>
  <c r="AL46" i="10"/>
  <c r="T23" i="10"/>
  <c r="O34" i="10"/>
  <c r="AN46" i="10"/>
  <c r="AN15" i="10"/>
  <c r="AD19" i="10"/>
  <c r="T33" i="10"/>
  <c r="O30" i="10"/>
  <c r="AK30" i="10"/>
  <c r="L57" i="10"/>
  <c r="J13" i="10"/>
  <c r="E44" i="10"/>
  <c r="AB33" i="10"/>
  <c r="K57" i="10"/>
  <c r="H11" i="10"/>
  <c r="F24" i="10"/>
  <c r="H44" i="10"/>
  <c r="H16" i="10"/>
  <c r="AN60" i="10"/>
  <c r="AB8" i="10"/>
  <c r="AE32" i="10"/>
  <c r="U16" i="10"/>
  <c r="H27" i="10"/>
  <c r="Y9" i="10"/>
  <c r="AN61" i="10"/>
  <c r="AF21" i="10"/>
  <c r="AD18" i="10"/>
  <c r="AB29" i="10"/>
  <c r="AC41" i="10"/>
  <c r="AK34" i="10"/>
  <c r="F52" i="10"/>
  <c r="AK42" i="10"/>
  <c r="I52" i="10"/>
  <c r="AD39" i="10"/>
  <c r="AN6" i="10"/>
  <c r="X20" i="10"/>
  <c r="AN38" i="10"/>
  <c r="F61" i="10"/>
  <c r="AB41" i="10"/>
  <c r="U23" i="10"/>
  <c r="L49" i="10"/>
  <c r="W25" i="10"/>
  <c r="Z38" i="10"/>
  <c r="O51" i="10"/>
  <c r="O61" i="10"/>
  <c r="AD54" i="10"/>
  <c r="O22" i="10"/>
  <c r="G59" i="10"/>
  <c r="G57" i="10"/>
  <c r="AL14" i="10"/>
  <c r="F11" i="10"/>
  <c r="E15" i="10"/>
  <c r="Y36" i="10"/>
  <c r="U15" i="10"/>
  <c r="N7" i="10"/>
  <c r="E17" i="10"/>
  <c r="AK44" i="10"/>
  <c r="AE29" i="10"/>
  <c r="E32" i="10"/>
  <c r="K56" i="10"/>
  <c r="AD25" i="10"/>
  <c r="X24" i="10"/>
  <c r="AN31" i="10"/>
  <c r="AK48" i="10"/>
  <c r="AK12" i="10"/>
  <c r="P60" i="10"/>
  <c r="X15" i="10"/>
  <c r="P28" i="10"/>
  <c r="W54" i="10"/>
  <c r="L14" i="10"/>
  <c r="K44" i="10"/>
  <c r="X21" i="10"/>
  <c r="L8" i="10"/>
  <c r="P15" i="10"/>
  <c r="J44" i="10"/>
  <c r="L59" i="10"/>
  <c r="H41" i="10"/>
  <c r="AL36" i="10"/>
  <c r="AF10" i="10"/>
  <c r="G12" i="8"/>
  <c r="J24" i="10"/>
  <c r="Z15" i="10"/>
  <c r="Y11" i="10"/>
  <c r="G32" i="10"/>
  <c r="U42" i="10"/>
  <c r="T45" i="10"/>
  <c r="W7" i="10"/>
  <c r="J52" i="10"/>
  <c r="AF33" i="10"/>
  <c r="W19" i="10"/>
  <c r="G34" i="10"/>
  <c r="AE57" i="10"/>
  <c r="F60" i="10"/>
  <c r="AL61" i="10"/>
  <c r="U10" i="10"/>
  <c r="O7" i="10"/>
  <c r="J8" i="10"/>
  <c r="J27" i="10"/>
  <c r="K17" i="10"/>
  <c r="X26" i="10"/>
  <c r="AB20" i="10"/>
  <c r="AK43" i="10"/>
  <c r="Z35" i="10"/>
  <c r="L45" i="10"/>
  <c r="Z57" i="10"/>
  <c r="F56" i="10"/>
  <c r="AB52" i="10"/>
  <c r="G43" i="10"/>
  <c r="O39" i="10"/>
  <c r="AF46" i="10"/>
  <c r="AN18" i="10"/>
  <c r="H46" i="10"/>
  <c r="N9" i="10"/>
  <c r="O50" i="10"/>
  <c r="K21" i="10"/>
  <c r="AL34" i="10"/>
  <c r="J28" i="10"/>
  <c r="L33" i="10"/>
  <c r="AN22" i="10"/>
  <c r="AF60" i="10"/>
  <c r="X45" i="10"/>
  <c r="I35" i="10"/>
  <c r="AD60" i="10"/>
  <c r="E42" i="10"/>
  <c r="AB12" i="10"/>
  <c r="O27" i="10"/>
  <c r="Y47" i="10"/>
  <c r="U45" i="10"/>
  <c r="P9" i="10"/>
  <c r="F33" i="10"/>
  <c r="T48" i="10"/>
  <c r="I51" i="10"/>
  <c r="Z32" i="10"/>
  <c r="E37" i="10"/>
  <c r="Z59" i="10"/>
  <c r="Z8" i="10"/>
  <c r="N22" i="10"/>
  <c r="AF45" i="10"/>
  <c r="AK21" i="10"/>
  <c r="P32" i="10"/>
  <c r="E19" i="10"/>
  <c r="AC18" i="10"/>
  <c r="AE45" i="10"/>
  <c r="O41" i="10"/>
  <c r="AK36" i="10"/>
  <c r="Z25" i="10"/>
  <c r="AK38" i="10"/>
  <c r="L46" i="10"/>
  <c r="K46" i="10"/>
  <c r="AB32" i="10"/>
  <c r="Y10" i="10"/>
  <c r="E30" i="10"/>
  <c r="W42" i="10"/>
  <c r="I41" i="10"/>
  <c r="AC40" i="10"/>
  <c r="K43" i="10"/>
  <c r="AL23" i="10"/>
  <c r="AB30" i="10"/>
  <c r="T26" i="10"/>
  <c r="E11" i="10"/>
  <c r="O49" i="10"/>
  <c r="O11" i="10"/>
  <c r="AD50" i="10"/>
  <c r="Y18" i="10"/>
  <c r="U7" i="10"/>
  <c r="Y29" i="10"/>
  <c r="K9" i="10"/>
  <c r="T36" i="10"/>
  <c r="AL47" i="10"/>
  <c r="E23" i="10"/>
  <c r="AE47" i="10"/>
  <c r="N28" i="10"/>
  <c r="X7" i="10"/>
  <c r="L26" i="10"/>
  <c r="T6" i="10"/>
  <c r="AN29" i="10"/>
  <c r="Y59" i="10"/>
  <c r="Z11" i="10"/>
  <c r="U26" i="10"/>
  <c r="H53" i="10"/>
  <c r="W16" i="10"/>
  <c r="E25" i="10"/>
  <c r="E21" i="10"/>
  <c r="Z14" i="10"/>
  <c r="AF47" i="10"/>
  <c r="T10" i="10"/>
  <c r="L48" i="10"/>
  <c r="L12" i="10"/>
  <c r="E45" i="10"/>
  <c r="L25" i="10"/>
  <c r="O19" i="10"/>
  <c r="H42" i="10"/>
  <c r="P11" i="10"/>
  <c r="U11" i="10"/>
  <c r="AL21" i="10"/>
  <c r="AF14" i="10"/>
  <c r="AD16" i="10"/>
  <c r="AB58" i="10"/>
  <c r="W28" i="10"/>
  <c r="AB7" i="10"/>
  <c r="K32" i="10"/>
  <c r="AN48" i="10"/>
  <c r="T46" i="10"/>
  <c r="AE44" i="10"/>
  <c r="W51" i="10"/>
  <c r="AF44" i="10"/>
  <c r="K51" i="10"/>
  <c r="I8" i="10"/>
  <c r="AK23" i="10"/>
  <c r="AC6" i="10"/>
  <c r="AC30" i="10"/>
  <c r="AL38" i="10"/>
  <c r="K61" i="10"/>
  <c r="G12" i="10"/>
  <c r="X6" i="10"/>
  <c r="AB11" i="10"/>
  <c r="W27" i="10"/>
  <c r="AC58" i="10"/>
  <c r="AN23" i="10"/>
  <c r="AE49" i="10"/>
  <c r="P10" i="10"/>
  <c r="N21" i="10"/>
  <c r="L31" i="10"/>
  <c r="AF18" i="10"/>
  <c r="E43" i="10"/>
  <c r="N58" i="10"/>
  <c r="X57" i="10"/>
  <c r="I6" i="10"/>
  <c r="N37" i="10"/>
  <c r="AE54" i="10"/>
  <c r="U35" i="8"/>
  <c r="U28" i="10"/>
  <c r="T56" i="10"/>
  <c r="AN25" i="10"/>
  <c r="K11" i="10"/>
  <c r="AD29" i="10"/>
  <c r="U40" i="10"/>
  <c r="AC39" i="10"/>
  <c r="U13" i="10"/>
  <c r="T41" i="10"/>
  <c r="P46" i="10"/>
  <c r="AE53" i="10"/>
  <c r="H47" i="10"/>
  <c r="AC24" i="10"/>
  <c r="AK28" i="10"/>
  <c r="AC45" i="10"/>
  <c r="AF11" i="10"/>
  <c r="H9" i="10"/>
  <c r="AC36" i="10"/>
  <c r="F22" i="10"/>
  <c r="Y55" i="10"/>
  <c r="AE24" i="10"/>
  <c r="F35" i="8"/>
  <c r="AE46" i="10"/>
  <c r="AB17" i="10"/>
  <c r="Z54" i="10"/>
  <c r="E24" i="10"/>
  <c r="K58" i="10"/>
  <c r="E8" i="10"/>
  <c r="E34" i="10"/>
  <c r="G41" i="10"/>
  <c r="J14" i="10"/>
  <c r="P39" i="10"/>
  <c r="AE58" i="10"/>
  <c r="N36" i="8"/>
  <c r="L42" i="10"/>
  <c r="G36" i="10"/>
  <c r="T28" i="10"/>
  <c r="W10" i="10"/>
  <c r="I25" i="10"/>
  <c r="G48" i="10"/>
  <c r="X50" i="10"/>
  <c r="H56" i="10"/>
  <c r="E60" i="10"/>
  <c r="AC34" i="10"/>
  <c r="AL22" i="10"/>
  <c r="U24" i="10"/>
  <c r="G58" i="10"/>
  <c r="I46" i="10"/>
  <c r="O29" i="10"/>
  <c r="F50" i="10"/>
  <c r="Z10" i="10"/>
  <c r="AC21" i="10"/>
  <c r="AB36" i="10"/>
  <c r="J29" i="10"/>
  <c r="AB54" i="10"/>
  <c r="AF22" i="10"/>
  <c r="Y50" i="10"/>
  <c r="U61" i="10"/>
  <c r="AK55" i="10"/>
  <c r="AL50" i="10"/>
  <c r="P49" i="10"/>
  <c r="W24" i="10"/>
  <c r="Y51" i="10"/>
  <c r="H8" i="10"/>
  <c r="N51" i="10"/>
  <c r="T20" i="10"/>
  <c r="K35" i="10"/>
  <c r="T58" i="10"/>
  <c r="AN27" i="10"/>
  <c r="W37" i="10"/>
  <c r="I42" i="10"/>
  <c r="AI53" i="10"/>
  <c r="AG23" i="10"/>
  <c r="AG61" i="10"/>
  <c r="AH11" i="10"/>
  <c r="AH30" i="10"/>
  <c r="AH25" i="10"/>
  <c r="AG60" i="10"/>
  <c r="AG8" i="10"/>
  <c r="AH56" i="10"/>
  <c r="AI28" i="10"/>
  <c r="AG59" i="10"/>
  <c r="K27" i="10"/>
  <c r="I40" i="10"/>
  <c r="Z53" i="10"/>
  <c r="X44" i="10"/>
  <c r="AN30" i="10"/>
  <c r="O37" i="10"/>
  <c r="E7" i="10"/>
  <c r="AD35" i="10"/>
  <c r="AF51" i="10"/>
  <c r="U53" i="10"/>
  <c r="AD24" i="10"/>
  <c r="E52" i="10"/>
  <c r="AF31" i="10"/>
  <c r="K12" i="10"/>
  <c r="N15" i="10"/>
  <c r="N11" i="10"/>
  <c r="L17" i="10"/>
  <c r="N14" i="10"/>
  <c r="AE51" i="10"/>
  <c r="G40" i="10"/>
  <c r="AN10" i="10"/>
  <c r="AN34" i="10"/>
  <c r="AC8" i="10"/>
  <c r="AD12" i="10"/>
  <c r="AF30" i="10"/>
  <c r="T18" i="10"/>
  <c r="AF19" i="10"/>
  <c r="F20" i="10"/>
  <c r="F28" i="10"/>
  <c r="X53" i="10"/>
  <c r="T43" i="10"/>
  <c r="O60" i="10"/>
  <c r="AL44" i="10"/>
  <c r="G21" i="10"/>
  <c r="AL31" i="10"/>
  <c r="P44" i="10"/>
  <c r="AC31" i="10"/>
  <c r="I12" i="10"/>
  <c r="AK15" i="10"/>
  <c r="Y57" i="10"/>
  <c r="Z55" i="10"/>
  <c r="N18" i="10"/>
  <c r="AC14" i="10"/>
  <c r="P31" i="10"/>
  <c r="AD14" i="10"/>
  <c r="AF25" i="10"/>
  <c r="AD43" i="10"/>
  <c r="K31" i="10"/>
  <c r="AN14" i="10"/>
  <c r="AF32" i="10"/>
  <c r="J6" i="10"/>
  <c r="AL59" i="10"/>
  <c r="W21" i="10"/>
  <c r="Y40" i="10"/>
  <c r="H28" i="10"/>
  <c r="E41" i="10"/>
  <c r="AK49" i="10"/>
  <c r="P8" i="10"/>
  <c r="Y48" i="10"/>
  <c r="T16" i="10"/>
  <c r="AK6" i="10"/>
  <c r="X49" i="10"/>
  <c r="L28" i="10"/>
  <c r="J38" i="10"/>
  <c r="Y8" i="10"/>
  <c r="AL11" i="10"/>
  <c r="K39" i="10"/>
  <c r="I47" i="10"/>
  <c r="Z23" i="10"/>
  <c r="AL6" i="10"/>
  <c r="Y17" i="10"/>
  <c r="U38" i="10"/>
  <c r="L52" i="10"/>
  <c r="W56" i="10"/>
  <c r="T47" i="10"/>
  <c r="AN21" i="10"/>
  <c r="AD34" i="10"/>
  <c r="G17" i="10"/>
  <c r="W40" i="10"/>
  <c r="AK11" i="10"/>
  <c r="N46" i="10"/>
  <c r="F49" i="10"/>
  <c r="AL60" i="10"/>
  <c r="I59" i="10"/>
  <c r="H15" i="10"/>
  <c r="AL41" i="10"/>
  <c r="N26" i="10"/>
  <c r="AE50" i="10"/>
  <c r="F13" i="10"/>
  <c r="L23" i="10"/>
  <c r="AL45" i="10"/>
  <c r="T39" i="10"/>
  <c r="K49" i="10"/>
  <c r="G44" i="10"/>
  <c r="AE28" i="10"/>
  <c r="AD17" i="10"/>
  <c r="AN17" i="10"/>
  <c r="E59" i="10"/>
  <c r="X47" i="10"/>
  <c r="G50" i="10"/>
  <c r="F18" i="10"/>
  <c r="N49" i="10"/>
  <c r="I54" i="10"/>
  <c r="I57" i="10"/>
  <c r="J7" i="10"/>
  <c r="P61" i="10"/>
  <c r="AD7" i="10"/>
  <c r="Y20" i="10"/>
  <c r="E57" i="10"/>
  <c r="P41" i="10"/>
  <c r="F36" i="10"/>
  <c r="AL48" i="10"/>
  <c r="P17" i="10"/>
  <c r="Z51" i="10"/>
  <c r="O20" i="10"/>
  <c r="J16" i="10"/>
  <c r="E10" i="10"/>
  <c r="H58" i="10"/>
  <c r="G28" i="10"/>
  <c r="E61" i="10"/>
  <c r="AB56" i="10"/>
  <c r="F6" i="10"/>
  <c r="L7" i="10"/>
  <c r="AL9" i="10"/>
  <c r="F19" i="10"/>
  <c r="G13" i="10"/>
  <c r="H61" i="10"/>
  <c r="Z37" i="10"/>
  <c r="AC32" i="10"/>
  <c r="AE27" i="10"/>
  <c r="Y23" i="10"/>
  <c r="AN57" i="10"/>
  <c r="Z16" i="10"/>
  <c r="E9" i="10"/>
  <c r="I48" i="10"/>
  <c r="AB23" i="10"/>
  <c r="I22" i="10"/>
  <c r="P33" i="10"/>
  <c r="AK27" i="10"/>
  <c r="I61" i="10"/>
  <c r="O10" i="10"/>
  <c r="H40" i="10"/>
  <c r="K54" i="10"/>
  <c r="Z27" i="10"/>
  <c r="AD36" i="10"/>
  <c r="AN11" i="10"/>
  <c r="H25" i="10"/>
  <c r="AC49" i="10"/>
  <c r="AK37" i="10"/>
  <c r="U8" i="10"/>
  <c r="J23" i="10"/>
  <c r="AL57" i="10"/>
  <c r="AN12" i="10"/>
  <c r="F14" i="10"/>
  <c r="F31" i="10"/>
  <c r="AC54" i="10"/>
  <c r="O32" i="10"/>
  <c r="H24" i="10"/>
  <c r="K10" i="10"/>
  <c r="AN20" i="10"/>
  <c r="AD45" i="10"/>
  <c r="I20" i="10"/>
  <c r="X51" i="10"/>
  <c r="AC51" i="10"/>
  <c r="AB31" i="10"/>
  <c r="N36" i="10"/>
  <c r="E6" i="10"/>
  <c r="I31" i="10"/>
  <c r="AK24" i="10"/>
  <c r="G51" i="10"/>
  <c r="E39" i="10"/>
  <c r="AF29" i="10"/>
  <c r="U32" i="10"/>
  <c r="O18" i="10"/>
  <c r="U48" i="10"/>
  <c r="W6" i="10"/>
  <c r="X28" i="10"/>
  <c r="AL24" i="10"/>
  <c r="P36" i="10"/>
  <c r="G9" i="10"/>
  <c r="AN7" i="10"/>
  <c r="G22" i="10"/>
  <c r="AC13" i="10"/>
  <c r="AN28" i="10"/>
  <c r="L58" i="10"/>
  <c r="L9" i="10"/>
  <c r="Z13" i="10"/>
  <c r="AL25" i="10"/>
  <c r="J43" i="10"/>
  <c r="I28" i="10"/>
  <c r="AD20" i="10"/>
  <c r="AC23" i="10"/>
  <c r="I27" i="10"/>
  <c r="O47" i="10"/>
  <c r="T57" i="10"/>
  <c r="AD9" i="10"/>
  <c r="AF43" i="10"/>
  <c r="AK45" i="10"/>
  <c r="I13" i="10"/>
  <c r="N16" i="10"/>
  <c r="G54" i="10"/>
  <c r="N59" i="10"/>
  <c r="O59" i="10"/>
  <c r="AF39" i="10"/>
  <c r="AN51" i="10"/>
  <c r="T53" i="10"/>
  <c r="AD21" i="10"/>
  <c r="L43" i="10"/>
  <c r="X36" i="10"/>
  <c r="AK41" i="10"/>
  <c r="O53" i="10"/>
  <c r="K33" i="10"/>
  <c r="J41" i="10"/>
  <c r="AE6" i="10"/>
  <c r="AL30" i="10"/>
  <c r="AN50" i="10"/>
  <c r="Z24" i="10"/>
  <c r="X37" i="10"/>
  <c r="AE17" i="10"/>
  <c r="W18" i="10"/>
  <c r="W20" i="10"/>
  <c r="AN53" i="10"/>
  <c r="AL29" i="10"/>
  <c r="L30" i="10"/>
  <c r="P42" i="10"/>
  <c r="AD30" i="10"/>
  <c r="J25" i="10"/>
  <c r="W22" i="10"/>
  <c r="Z39" i="10"/>
  <c r="G35" i="10"/>
  <c r="Y19" i="10"/>
  <c r="AK61" i="10"/>
  <c r="AL18" i="10"/>
  <c r="J12" i="10"/>
  <c r="AK53" i="10"/>
  <c r="G56" i="10"/>
  <c r="W59" i="10"/>
  <c r="W39" i="10"/>
  <c r="Z40" i="10"/>
  <c r="AB59" i="10"/>
  <c r="N24" i="10"/>
  <c r="H26" i="10"/>
  <c r="AB9" i="10"/>
  <c r="K38" i="10"/>
  <c r="K28" i="10"/>
  <c r="X39" i="10"/>
  <c r="AL13" i="10"/>
  <c r="E16" i="10"/>
  <c r="P18" i="10"/>
  <c r="J19" i="10"/>
  <c r="AC22" i="10"/>
  <c r="Y30" i="10"/>
  <c r="P45" i="10"/>
  <c r="F48" i="10"/>
  <c r="G8" i="10"/>
  <c r="P58" i="10"/>
  <c r="H19" i="10"/>
  <c r="F51" i="10"/>
  <c r="P26" i="10"/>
  <c r="X40" i="10"/>
  <c r="W33" i="10"/>
  <c r="H43" i="10"/>
  <c r="T12" i="10"/>
  <c r="Z58" i="10"/>
  <c r="J15" i="10"/>
  <c r="J40" i="10"/>
  <c r="O16" i="10"/>
  <c r="I34" i="10"/>
  <c r="I55" i="10"/>
  <c r="Z49" i="10"/>
  <c r="T9" i="10"/>
  <c r="O26" i="10"/>
  <c r="AB51" i="10"/>
  <c r="AE30" i="10"/>
  <c r="J39" i="10"/>
  <c r="E18" i="10"/>
  <c r="N17" i="10"/>
  <c r="P57" i="10"/>
  <c r="T30" i="10"/>
  <c r="AN43" i="10"/>
  <c r="H30" i="10"/>
  <c r="L18" i="10"/>
  <c r="U22" i="10"/>
  <c r="L13" i="10"/>
  <c r="AF58" i="10"/>
  <c r="AB49" i="10"/>
  <c r="E47" i="10"/>
  <c r="Z60" i="10"/>
  <c r="Z22" i="10"/>
  <c r="AB40" i="10"/>
  <c r="X33" i="10"/>
  <c r="I7" i="10"/>
  <c r="G6" i="10"/>
  <c r="F59" i="10"/>
  <c r="X31" i="10"/>
  <c r="G61" i="10"/>
  <c r="H17" i="10"/>
  <c r="N39" i="10"/>
  <c r="AE21" i="10"/>
  <c r="AK19" i="10"/>
  <c r="AK17" i="10"/>
  <c r="AC47" i="10"/>
  <c r="K60" i="10"/>
  <c r="I24" i="10"/>
  <c r="AL54" i="10"/>
  <c r="AE9" i="10"/>
  <c r="T55" i="10"/>
  <c r="H14" i="10"/>
  <c r="G26" i="10"/>
  <c r="AK13" i="10"/>
  <c r="E48" i="10"/>
  <c r="U49" i="10"/>
  <c r="AK8" i="10"/>
  <c r="AD31" i="10"/>
  <c r="AF35" i="10"/>
  <c r="T19" i="10"/>
  <c r="K8" i="10"/>
  <c r="P6" i="10"/>
  <c r="AL53" i="10"/>
  <c r="F43" i="10"/>
  <c r="O15" i="10"/>
  <c r="K55" i="10"/>
  <c r="T8" i="10"/>
  <c r="F38" i="10"/>
  <c r="G37" i="10"/>
  <c r="AD41" i="10"/>
  <c r="P34" i="10"/>
  <c r="Y26" i="10"/>
  <c r="AE52" i="10"/>
  <c r="P56" i="10"/>
  <c r="M14" i="8"/>
  <c r="N38" i="8"/>
  <c r="N37" i="8"/>
  <c r="AG25" i="10"/>
  <c r="AI36" i="10"/>
  <c r="AI54" i="10"/>
  <c r="AI51" i="10"/>
  <c r="AG22" i="10"/>
  <c r="AG58" i="10"/>
  <c r="AG12" i="10"/>
  <c r="AI37" i="10"/>
  <c r="AG41" i="10"/>
  <c r="AI31" i="10"/>
  <c r="AE14" i="10"/>
  <c r="T32" i="10"/>
  <c r="Z12" i="10"/>
  <c r="AN42" i="10"/>
  <c r="T59" i="10"/>
  <c r="L50" i="10"/>
  <c r="U36" i="10"/>
  <c r="Z17" i="10"/>
  <c r="W15" i="10"/>
  <c r="E13" i="10"/>
  <c r="F53" i="10"/>
  <c r="AF38" i="10"/>
  <c r="I49" i="10"/>
  <c r="T51" i="10"/>
  <c r="X11" i="10"/>
  <c r="AN54" i="10"/>
  <c r="L60" i="10"/>
  <c r="N43" i="10"/>
  <c r="AN39" i="10"/>
  <c r="AD57" i="10"/>
  <c r="U50" i="10"/>
  <c r="K50" i="10"/>
  <c r="L53" i="10"/>
  <c r="AB47" i="10"/>
  <c r="AN35" i="10"/>
  <c r="AN16" i="10"/>
  <c r="L40" i="10"/>
  <c r="Y54" i="10"/>
  <c r="AK35" i="10"/>
  <c r="AN9" i="10"/>
  <c r="AB10" i="10"/>
  <c r="Y12" i="10"/>
  <c r="L38" i="10"/>
  <c r="X23" i="10"/>
  <c r="AB22" i="10"/>
  <c r="K15" i="10"/>
  <c r="L11" i="10"/>
  <c r="AC26" i="10"/>
  <c r="H29" i="10"/>
  <c r="AC61" i="10"/>
  <c r="W32" i="10"/>
  <c r="AD42" i="10"/>
  <c r="AE23" i="10"/>
  <c r="L51" i="10"/>
  <c r="K25" i="10"/>
  <c r="T42" i="10"/>
  <c r="H51" i="10"/>
  <c r="K45" i="10"/>
  <c r="U18" i="10"/>
  <c r="K42" i="10"/>
  <c r="Z42" i="10"/>
  <c r="AD49" i="10"/>
  <c r="U27" i="10"/>
  <c r="X38" i="10"/>
  <c r="T37" i="10"/>
  <c r="N48" i="10"/>
  <c r="O43" i="10"/>
  <c r="AN55" i="10"/>
  <c r="T35" i="10"/>
  <c r="H18" i="10"/>
  <c r="F26" i="10"/>
  <c r="N61" i="10"/>
  <c r="AL12" i="10"/>
  <c r="AD47" i="10"/>
  <c r="X35" i="10"/>
  <c r="G39" i="10"/>
  <c r="AE59" i="10"/>
  <c r="AL49" i="10"/>
  <c r="AL10" i="10"/>
  <c r="AN59" i="10"/>
  <c r="U39" i="10"/>
  <c r="I38" i="10"/>
  <c r="I60" i="10"/>
  <c r="U41" i="10"/>
  <c r="U52" i="10"/>
  <c r="E31" i="10"/>
  <c r="AB53" i="10"/>
  <c r="AC17" i="10"/>
  <c r="N42" i="10"/>
  <c r="AN37" i="10"/>
  <c r="I9" i="10"/>
  <c r="Y7" i="10"/>
  <c r="N55" i="10"/>
  <c r="AB21" i="10"/>
  <c r="AF26" i="10"/>
  <c r="G30" i="10"/>
  <c r="AE33" i="10"/>
  <c r="AC44" i="10"/>
  <c r="L24" i="10"/>
  <c r="AN41" i="10"/>
  <c r="AE37" i="10"/>
  <c r="J59" i="10"/>
  <c r="T29" i="10"/>
  <c r="W43" i="10"/>
  <c r="U58" i="10"/>
  <c r="Y61" i="10"/>
  <c r="AD38" i="10"/>
  <c r="AD51" i="10"/>
  <c r="T13" i="8"/>
  <c r="P54" i="10"/>
  <c r="P16" i="10"/>
  <c r="H50" i="10"/>
  <c r="O35" i="10"/>
  <c r="Y49" i="10"/>
  <c r="E51" i="10"/>
  <c r="AB28" i="10"/>
  <c r="P51" i="10"/>
  <c r="O9" i="10"/>
  <c r="AF15" i="10"/>
  <c r="AD28" i="10"/>
  <c r="E55" i="10"/>
  <c r="AC56" i="10"/>
  <c r="AL55" i="10"/>
  <c r="X8" i="10"/>
  <c r="W45" i="10"/>
  <c r="AC25" i="10"/>
  <c r="T13" i="10"/>
  <c r="K41" i="10"/>
  <c r="O25" i="10"/>
  <c r="AK54" i="10"/>
  <c r="AE60" i="10"/>
  <c r="J26" i="10"/>
  <c r="AB27" i="10"/>
  <c r="I50" i="10"/>
  <c r="G16" i="8" s="1"/>
  <c r="K34" i="10"/>
  <c r="H22" i="10"/>
  <c r="AE13" i="10"/>
  <c r="F16" i="10"/>
  <c r="AD46" i="10"/>
  <c r="N19" i="10"/>
  <c r="E46" i="10"/>
  <c r="T44" i="10"/>
  <c r="AE40" i="10"/>
  <c r="J20" i="10"/>
  <c r="K37" i="10"/>
  <c r="N40" i="10"/>
  <c r="W47" i="10"/>
  <c r="AL7" i="10"/>
  <c r="L20" i="10"/>
  <c r="W60" i="10"/>
  <c r="I16" i="10"/>
  <c r="AF56" i="10"/>
  <c r="X59" i="10"/>
  <c r="AD59" i="10"/>
  <c r="AE41" i="10"/>
  <c r="K47" i="10"/>
  <c r="O8" i="10"/>
  <c r="AC9" i="10"/>
  <c r="W61" i="10"/>
  <c r="L10" i="10"/>
  <c r="AD23" i="10"/>
  <c r="AD22" i="10"/>
  <c r="U29" i="10"/>
  <c r="F55" i="10"/>
  <c r="X18" i="10"/>
  <c r="E26" i="10"/>
  <c r="F9" i="10"/>
  <c r="AF13" i="10"/>
  <c r="L54" i="10"/>
  <c r="H38" i="10"/>
  <c r="AC53" i="10"/>
  <c r="Y52" i="10"/>
  <c r="AC28" i="10"/>
  <c r="N41" i="10"/>
  <c r="Y60" i="10"/>
  <c r="AE61" i="10"/>
  <c r="T60" i="10"/>
  <c r="L35" i="10"/>
  <c r="G29" i="10"/>
  <c r="K53" i="10"/>
  <c r="AK58" i="10"/>
  <c r="Y25" i="10"/>
  <c r="O44" i="10"/>
  <c r="AC59" i="10"/>
  <c r="X9" i="10"/>
  <c r="AF40" i="10"/>
  <c r="X58" i="10"/>
  <c r="U35" i="10"/>
  <c r="X34" i="10"/>
  <c r="X22" i="10"/>
  <c r="T14" i="10"/>
  <c r="T22" i="10"/>
  <c r="L27" i="10"/>
  <c r="O28" i="10"/>
  <c r="L47" i="10"/>
  <c r="J57" i="10"/>
  <c r="J42" i="10"/>
  <c r="L21" i="10"/>
  <c r="E35" i="10"/>
  <c r="AC12" i="10"/>
  <c r="AL33" i="10"/>
  <c r="E38" i="10"/>
  <c r="K40" i="10"/>
  <c r="Y42" i="10"/>
  <c r="Z28" i="10"/>
  <c r="Y39" i="10"/>
  <c r="L34" i="10"/>
  <c r="P21" i="10"/>
  <c r="P20" i="10"/>
  <c r="W8" i="10"/>
  <c r="X16" i="10"/>
  <c r="AK9" i="10"/>
  <c r="E28" i="10"/>
  <c r="J55" i="10"/>
  <c r="AF28" i="10"/>
  <c r="AE26" i="10"/>
  <c r="AB60" i="10"/>
  <c r="AB18" i="10"/>
  <c r="L19" i="10"/>
  <c r="AL15" i="10"/>
  <c r="U17" i="10"/>
  <c r="N50" i="10"/>
  <c r="F44" i="10"/>
  <c r="AB26" i="10"/>
  <c r="U19" i="10"/>
  <c r="P55" i="10"/>
  <c r="AE18" i="10"/>
  <c r="AE11" i="10"/>
  <c r="H12" i="10"/>
  <c r="G16" i="10"/>
  <c r="L16" i="10"/>
  <c r="N45" i="10"/>
  <c r="AE19" i="10"/>
  <c r="I39" i="10"/>
  <c r="F8" i="10"/>
  <c r="U25" i="10"/>
  <c r="U20" i="10"/>
  <c r="AC11" i="10"/>
  <c r="Y38" i="10"/>
  <c r="AC57" i="10"/>
  <c r="P22" i="10"/>
  <c r="N31" i="10"/>
  <c r="X48" i="10"/>
  <c r="AB19" i="10"/>
  <c r="F57" i="10"/>
  <c r="X61" i="10"/>
  <c r="N25" i="10"/>
  <c r="AF8" i="10"/>
  <c r="F23" i="10"/>
  <c r="P35" i="10"/>
  <c r="U14" i="10"/>
  <c r="AN24" i="10"/>
  <c r="H20" i="10"/>
  <c r="AK46" i="10"/>
  <c r="AF17" i="10"/>
  <c r="AF37" i="10"/>
  <c r="AL28" i="10"/>
  <c r="Z20" i="10"/>
  <c r="AN49" i="10"/>
  <c r="AL39" i="10"/>
  <c r="G47" i="10"/>
  <c r="AB37" i="10"/>
  <c r="AB24" i="10"/>
  <c r="AE38" i="10"/>
  <c r="E33" i="10"/>
  <c r="G49" i="10"/>
  <c r="W34" i="10"/>
  <c r="AD32" i="10"/>
  <c r="G46" i="10"/>
  <c r="Z41" i="10"/>
  <c r="N35" i="10"/>
  <c r="N34" i="10"/>
  <c r="AD56" i="10"/>
  <c r="P23" i="10"/>
  <c r="G27" i="10"/>
  <c r="L61" i="10"/>
  <c r="W50" i="10"/>
  <c r="Z45" i="10"/>
  <c r="J35" i="10"/>
  <c r="H7" i="10"/>
  <c r="I23" i="10"/>
  <c r="I10" i="10"/>
  <c r="AB50" i="10"/>
  <c r="N35" i="8" s="1"/>
  <c r="AF41" i="10"/>
  <c r="H33" i="10"/>
  <c r="P37" i="10"/>
  <c r="J37" i="10"/>
  <c r="AK7" i="10"/>
  <c r="K18" i="10"/>
  <c r="AL16" i="10"/>
  <c r="I17" i="10"/>
  <c r="G36" i="8"/>
  <c r="AF6" i="10"/>
  <c r="J51" i="10"/>
  <c r="O33" i="10"/>
  <c r="N6" i="10"/>
  <c r="AL35" i="10"/>
  <c r="J56" i="10"/>
  <c r="N12" i="10"/>
  <c r="T7" i="10"/>
  <c r="Y32" i="10"/>
  <c r="I36" i="10"/>
  <c r="P38" i="10"/>
  <c r="AE55" i="10"/>
  <c r="AD61" i="10"/>
  <c r="AC16" i="10"/>
  <c r="X32" i="10"/>
  <c r="Z9" i="10"/>
  <c r="K29" i="10"/>
  <c r="AD55" i="10"/>
  <c r="L22" i="10"/>
  <c r="W12" i="10"/>
  <c r="P27" i="10"/>
  <c r="F58" i="10"/>
  <c r="K20" i="10"/>
  <c r="P25" i="10"/>
  <c r="U44" i="10"/>
  <c r="AC27" i="10"/>
  <c r="H39" i="10"/>
  <c r="W48" i="10"/>
  <c r="Z29" i="10"/>
  <c r="L56" i="10"/>
  <c r="Y15" i="10"/>
  <c r="W57" i="10"/>
  <c r="Z46" i="10"/>
  <c r="AK60" i="10"/>
  <c r="F29" i="10"/>
  <c r="O12" i="10"/>
  <c r="L36" i="10"/>
  <c r="AF34" i="10"/>
  <c r="O46" i="10"/>
  <c r="N30" i="10"/>
  <c r="U37" i="10"/>
  <c r="W58" i="10"/>
  <c r="N38" i="10"/>
  <c r="W35" i="10"/>
  <c r="AB38" i="10"/>
  <c r="H55" i="10"/>
  <c r="AD48" i="10"/>
  <c r="I14" i="10"/>
  <c r="Z47" i="10"/>
  <c r="T12" i="8"/>
  <c r="M13" i="8"/>
  <c r="N42" i="8" l="1"/>
  <c r="H34" i="2"/>
  <c r="H57" i="2"/>
  <c r="H56" i="2"/>
  <c r="H47" i="2"/>
  <c r="H11" i="2"/>
  <c r="H49" i="2"/>
  <c r="H32" i="2"/>
  <c r="H33" i="2"/>
  <c r="H36" i="2"/>
  <c r="H23" i="2"/>
  <c r="H38" i="2"/>
  <c r="H58" i="2"/>
  <c r="H9" i="2"/>
  <c r="H21" i="2"/>
  <c r="H19" i="2"/>
  <c r="H17" i="2"/>
  <c r="H26" i="2"/>
  <c r="H7" i="2"/>
  <c r="H50" i="2"/>
  <c r="H27" i="2"/>
  <c r="H15" i="2"/>
  <c r="H41" i="2"/>
  <c r="H60" i="2"/>
  <c r="H59" i="2"/>
  <c r="H18" i="2"/>
  <c r="H6" i="2"/>
  <c r="H46" i="2"/>
  <c r="H53" i="2"/>
  <c r="H44" i="2"/>
  <c r="H24" i="2"/>
  <c r="H42" i="2"/>
  <c r="H37" i="2"/>
  <c r="H25" i="2"/>
  <c r="H39" i="2"/>
  <c r="H28" i="2"/>
  <c r="H55" i="2"/>
  <c r="H43" i="2"/>
  <c r="H45" i="2"/>
  <c r="H20" i="2"/>
  <c r="H51" i="2"/>
  <c r="H16" i="2"/>
  <c r="H54" i="2"/>
  <c r="H35" i="2"/>
  <c r="H31" i="2"/>
  <c r="H30" i="2"/>
  <c r="H12" i="2"/>
  <c r="H10" i="2"/>
  <c r="H22" i="2"/>
  <c r="H48" i="2"/>
  <c r="H8" i="2"/>
  <c r="H14" i="2"/>
  <c r="H29" i="2"/>
  <c r="H40" i="2"/>
  <c r="H13" i="2"/>
  <c r="H52" i="2"/>
  <c r="H5" i="2"/>
  <c r="F45" i="2" a="1"/>
  <c r="F45" i="2" s="1"/>
  <c r="F11" i="2" a="1"/>
  <c r="F11" i="2" s="1"/>
  <c r="F32" i="2" a="1"/>
  <c r="F32" i="2" s="1"/>
  <c r="F25" i="2" a="1"/>
  <c r="F25" i="2" s="1"/>
  <c r="F15" i="2" a="1"/>
  <c r="F15" i="2" s="1"/>
  <c r="F28" i="2" a="1"/>
  <c r="F28" i="2" s="1"/>
  <c r="F52" i="2" a="1"/>
  <c r="F52" i="2" s="1"/>
  <c r="F58" i="2" a="1"/>
  <c r="F58" i="2" s="1"/>
  <c r="F46" i="2" a="1"/>
  <c r="F46" i="2" s="1"/>
  <c r="F18" i="2" a="1"/>
  <c r="F18" i="2" s="1"/>
  <c r="F27" i="2" a="1"/>
  <c r="F27" i="2" s="1"/>
  <c r="F10" i="2" a="1"/>
  <c r="F10" i="2" s="1"/>
  <c r="F17" i="2" a="1"/>
  <c r="F17" i="2" s="1"/>
  <c r="F48" i="2" a="1"/>
  <c r="F48" i="2" s="1"/>
  <c r="F43" i="2" a="1"/>
  <c r="F43" i="2" s="1"/>
  <c r="F40" i="2" a="1"/>
  <c r="F40" i="2" s="1"/>
  <c r="F31" i="2" a="1"/>
  <c r="F31" i="2" s="1"/>
  <c r="F26" i="2" a="1"/>
  <c r="F26" i="2" s="1"/>
  <c r="F49" i="2" a="1"/>
  <c r="F49" i="2" s="1"/>
  <c r="F38" i="2" a="1"/>
  <c r="F38" i="2" s="1"/>
  <c r="F7" i="2" a="1"/>
  <c r="F7" i="2" s="1"/>
  <c r="F16" i="2" a="1"/>
  <c r="F16" i="2" s="1"/>
  <c r="F6" i="2" a="1"/>
  <c r="F6" i="2" s="1"/>
  <c r="F14" i="2" a="1"/>
  <c r="F14" i="2" s="1"/>
  <c r="F9" i="2" a="1"/>
  <c r="F9" i="2" s="1"/>
  <c r="F24" i="2" a="1"/>
  <c r="F24" i="2" s="1"/>
  <c r="F21" i="2" a="1"/>
  <c r="F21" i="2" s="1"/>
  <c r="F60" i="2" a="1"/>
  <c r="F60" i="2" s="1"/>
  <c r="F50" i="2" a="1"/>
  <c r="F50" i="2" s="1"/>
  <c r="F19" i="2" a="1"/>
  <c r="F19" i="2" s="1"/>
  <c r="F8" i="2" a="1"/>
  <c r="F8" i="2" s="1"/>
  <c r="F34" i="2" a="1"/>
  <c r="F34" i="2" s="1"/>
  <c r="F29" i="2" a="1"/>
  <c r="F29" i="2" s="1"/>
  <c r="F33" i="2" a="1"/>
  <c r="F33" i="2" s="1"/>
  <c r="F39" i="2" a="1"/>
  <c r="F39" i="2" s="1"/>
  <c r="F41" i="2" a="1"/>
  <c r="F41" i="2" s="1"/>
  <c r="F44" i="2" a="1"/>
  <c r="F44" i="2" s="1"/>
  <c r="F42" i="2" a="1"/>
  <c r="F42" i="2" s="1"/>
  <c r="F57" i="2" a="1"/>
  <c r="F57" i="2" s="1"/>
  <c r="F35" i="2" a="1"/>
  <c r="F35" i="2" s="1"/>
  <c r="F23" i="2" a="1"/>
  <c r="F23" i="2" s="1"/>
  <c r="F55" i="2" a="1"/>
  <c r="F55" i="2" s="1"/>
  <c r="F56" i="2" a="1"/>
  <c r="F56" i="2" s="1"/>
  <c r="F59" i="2" a="1"/>
  <c r="F59" i="2" s="1"/>
  <c r="F47" i="2" a="1"/>
  <c r="F47" i="2" s="1"/>
  <c r="F30" i="2" a="1"/>
  <c r="F30" i="2" s="1"/>
  <c r="F37" i="2" a="1"/>
  <c r="F37" i="2" s="1"/>
  <c r="F53" i="2" a="1"/>
  <c r="F53" i="2" s="1"/>
  <c r="F20" i="2" a="1"/>
  <c r="F20" i="2" s="1"/>
  <c r="F12" i="2" a="1"/>
  <c r="F12" i="2" s="1"/>
  <c r="F51" i="2" a="1"/>
  <c r="F51" i="2" s="1"/>
  <c r="F36" i="2" a="1"/>
  <c r="F36" i="2" s="1"/>
  <c r="F54" i="2" a="1"/>
  <c r="F54" i="2" s="1"/>
  <c r="F22" i="2" a="1"/>
  <c r="F22" i="2" s="1"/>
  <c r="F13" i="2" a="1"/>
  <c r="F13" i="2" s="1"/>
  <c r="F5" i="2" a="1"/>
  <c r="F5" i="2" s="1"/>
  <c r="G5" i="2"/>
  <c r="E47" i="2"/>
  <c r="E46" i="2"/>
  <c r="E17" i="2"/>
  <c r="E32" i="2"/>
  <c r="E15" i="2"/>
  <c r="E59" i="2"/>
  <c r="E33" i="2"/>
  <c r="E7" i="2"/>
  <c r="E16" i="2"/>
  <c r="E23" i="2"/>
  <c r="E42" i="2"/>
  <c r="E27" i="2"/>
  <c r="E37" i="2"/>
  <c r="E34" i="2"/>
  <c r="E44" i="2"/>
  <c r="E20" i="2"/>
  <c r="E24" i="2"/>
  <c r="E22" i="2"/>
  <c r="E10" i="2"/>
  <c r="E38" i="2"/>
  <c r="E29" i="2"/>
  <c r="E13" i="2"/>
  <c r="E18" i="2"/>
  <c r="E36" i="2"/>
  <c r="E25" i="2"/>
  <c r="E41" i="2"/>
  <c r="E8" i="2"/>
  <c r="E45" i="2"/>
  <c r="E31" i="2"/>
  <c r="E60" i="2"/>
  <c r="E9" i="2"/>
  <c r="E54" i="2"/>
  <c r="E56" i="2"/>
  <c r="E50" i="2"/>
  <c r="E43" i="2"/>
  <c r="E58" i="2"/>
  <c r="E52" i="2"/>
  <c r="E30" i="2"/>
  <c r="E49" i="2"/>
  <c r="E19" i="2"/>
  <c r="E55" i="2"/>
  <c r="E28" i="2"/>
  <c r="E40" i="2"/>
  <c r="E57" i="2"/>
  <c r="E21" i="2"/>
  <c r="E11" i="2"/>
  <c r="E39" i="2"/>
  <c r="E48" i="2"/>
  <c r="E53" i="2"/>
  <c r="E51" i="2"/>
  <c r="E12" i="2"/>
  <c r="E6" i="2"/>
  <c r="E14" i="2"/>
  <c r="E35" i="2"/>
  <c r="E26" i="2"/>
  <c r="E5" i="2"/>
  <c r="L7" i="8"/>
  <c r="G7" i="2"/>
  <c r="G16" i="2"/>
  <c r="G18" i="2"/>
  <c r="G54" i="2"/>
  <c r="G14" i="2"/>
  <c r="G6" i="2"/>
  <c r="G29" i="2"/>
  <c r="G8" i="2"/>
  <c r="G11" i="2"/>
  <c r="G57" i="2"/>
  <c r="G19" i="2"/>
  <c r="G27" i="2"/>
  <c r="G40" i="2"/>
  <c r="G55" i="2"/>
  <c r="G52" i="2"/>
  <c r="G56" i="2"/>
  <c r="G45" i="2"/>
  <c r="G9" i="2"/>
  <c r="G21" i="2"/>
  <c r="G13" i="2"/>
  <c r="G35" i="2"/>
  <c r="G25" i="2"/>
  <c r="G59" i="2"/>
  <c r="G47" i="2"/>
  <c r="G44" i="2"/>
  <c r="G43" i="2"/>
  <c r="G12" i="2"/>
  <c r="G32" i="2"/>
  <c r="G22" i="2"/>
  <c r="G28" i="2"/>
  <c r="G38" i="2"/>
  <c r="G23" i="2"/>
  <c r="G46" i="2"/>
  <c r="G15" i="2"/>
  <c r="G34" i="2"/>
  <c r="G49" i="2"/>
  <c r="G60" i="2"/>
  <c r="G36" i="2"/>
  <c r="G41" i="2"/>
  <c r="G26" i="2"/>
  <c r="G48" i="2"/>
  <c r="G30" i="2"/>
  <c r="G51" i="2"/>
  <c r="G42" i="2"/>
  <c r="G10" i="2"/>
  <c r="G17" i="2"/>
  <c r="G53" i="2"/>
  <c r="G33" i="2"/>
  <c r="G20" i="2"/>
  <c r="G39" i="2"/>
  <c r="G50" i="2"/>
  <c r="G37" i="2"/>
  <c r="G24" i="2"/>
  <c r="G58" i="2"/>
  <c r="G31" i="2"/>
  <c r="U37" i="8"/>
  <c r="G17" i="8"/>
  <c r="G15" i="8"/>
  <c r="G14" i="8"/>
  <c r="G19" i="8"/>
  <c r="G13" i="8"/>
  <c r="U36" i="8"/>
  <c r="G18" i="8"/>
  <c r="M12" i="8"/>
  <c r="N39" i="8"/>
  <c r="G35" i="8"/>
  <c r="K29" i="8" l="1"/>
  <c r="K30" i="8"/>
  <c r="K28" i="8"/>
  <c r="K27" i="8"/>
  <c r="L5" i="8"/>
  <c r="L6" i="8"/>
  <c r="L8" i="8" l="1"/>
  <c r="E28" i="8"/>
  <c r="E29"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<sst xmlns="http://schemas.openxmlformats.org/spreadsheetml/2006/main" count="1172" uniqueCount="389">
  <si>
    <t>Indicator</t>
  </si>
  <si>
    <t>Population</t>
  </si>
  <si>
    <t>PLEASE NOTE - this should be the population considered Health Affected - and it is assumed that all indicators apply for that specific group.</t>
  </si>
  <si>
    <t>Admin1</t>
  </si>
  <si>
    <t>Admin2</t>
  </si>
  <si>
    <t>HR_09</t>
  </si>
  <si>
    <t>HR_11</t>
  </si>
  <si>
    <t>CF_01</t>
  </si>
  <si>
    <t>CF_02</t>
  </si>
  <si>
    <t>Per</t>
  </si>
  <si>
    <t>Code</t>
  </si>
  <si>
    <t>Category</t>
  </si>
  <si>
    <t>PiN</t>
  </si>
  <si>
    <t>Severity</t>
  </si>
  <si>
    <t>Final PiN</t>
  </si>
  <si>
    <t>Pop</t>
  </si>
  <si>
    <t>Health Affected Population</t>
  </si>
  <si>
    <t>Admin 1</t>
  </si>
  <si>
    <t>Admin 2</t>
  </si>
  <si>
    <t>M_CF</t>
  </si>
  <si>
    <t>Indicator Level Scorecard</t>
  </si>
  <si>
    <t>Pop_Admin1</t>
  </si>
  <si>
    <t>Result</t>
  </si>
  <si>
    <t>Comments</t>
  </si>
  <si>
    <t>Reliability</t>
  </si>
  <si>
    <t>Max Critical Indicators</t>
  </si>
  <si>
    <t>Critical</t>
  </si>
  <si>
    <t>No</t>
  </si>
  <si>
    <t>Calculated Weighted Severity</t>
  </si>
  <si>
    <t>Overall Severity Score</t>
  </si>
  <si>
    <t>Severity Score Card</t>
  </si>
  <si>
    <t>Severity_1</t>
  </si>
  <si>
    <t>Severity_2</t>
  </si>
  <si>
    <t>Severity_3</t>
  </si>
  <si>
    <t>Severity_4</t>
  </si>
  <si>
    <t>Severity_5</t>
  </si>
  <si>
    <t>C_Severity</t>
  </si>
  <si>
    <t>Final Severity</t>
  </si>
  <si>
    <t>IN_Admin2</t>
  </si>
  <si>
    <t>IN_Admin1</t>
  </si>
  <si>
    <t>C_Admin2</t>
  </si>
  <si>
    <t>C_Admin1</t>
  </si>
  <si>
    <t>&gt;=</t>
  </si>
  <si>
    <t>&lt;</t>
  </si>
  <si>
    <t>&lt;=</t>
  </si>
  <si>
    <t>&gt;</t>
  </si>
  <si>
    <t>FP_Admin_2</t>
  </si>
  <si>
    <t>FP_Admin_1</t>
  </si>
  <si>
    <t>HS_01</t>
  </si>
  <si>
    <t>HS_02</t>
  </si>
  <si>
    <t>HS_04</t>
  </si>
  <si>
    <t>HS_05</t>
  </si>
  <si>
    <t>Proportion</t>
  </si>
  <si>
    <t>Number</t>
  </si>
  <si>
    <t>Text</t>
  </si>
  <si>
    <t>Severity 1</t>
  </si>
  <si>
    <t>Severity 5</t>
  </si>
  <si>
    <t>Sub-Class</t>
  </si>
  <si>
    <t>GH_1</t>
  </si>
  <si>
    <t>General Health</t>
  </si>
  <si>
    <t>Proportional mortality</t>
  </si>
  <si>
    <t>Health Status</t>
  </si>
  <si>
    <t>Expert Judgement</t>
  </si>
  <si>
    <t>GH_2</t>
  </si>
  <si>
    <t>Proportional morbidity</t>
  </si>
  <si>
    <t>GH_3</t>
  </si>
  <si>
    <t>% of the population identified as having disabilities (in line with the Washington Group Questions)</t>
  </si>
  <si>
    <t>All domains are no difficulties</t>
  </si>
  <si>
    <t>No domain is a lot of difficulties or cannot do at all, 1, 2, or 3 domains are some difficulties</t>
  </si>
  <si>
    <t>No domain is cannot do at all, 1, 2, or 3 domains are a lot of difficulties OR no domain is a lot of difficulties or cannot do at all; at least 4 domains are some difficulties</t>
  </si>
  <si>
    <t>At least 4 domains are cannot do all</t>
  </si>
  <si>
    <t>PiN and possibly Severity (but thresholds would need to be identified)</t>
  </si>
  <si>
    <t>GH_4</t>
  </si>
  <si>
    <t>Average population per functioning health facility (HF), by type of HF and by administrative unit</t>
  </si>
  <si>
    <t>Health Resources</t>
  </si>
  <si>
    <t>Availability</t>
  </si>
  <si>
    <t>CH_1</t>
  </si>
  <si>
    <t>Child Health</t>
  </si>
  <si>
    <t>Coverage of DTC3 (DPT3 / PENTA3) in &lt; 1 year old, by administrative unit</t>
  </si>
  <si>
    <t>&gt;= 95%</t>
  </si>
  <si>
    <t>90% &lt; 95%</t>
  </si>
  <si>
    <t>85% &lt; 89%</t>
  </si>
  <si>
    <t>80% &lt; 84%</t>
  </si>
  <si>
    <t>&lt; = 80%</t>
  </si>
  <si>
    <t>PiN; Severity</t>
  </si>
  <si>
    <t>CH_2</t>
  </si>
  <si>
    <t>Proportion of under 5 year-olds confirmed malaria cases who received antimalarial treatment after diagnosis (clinical and lab)</t>
  </si>
  <si>
    <t>Health System Performance</t>
  </si>
  <si>
    <t>Generally, performance measures are not well suited to assessing needs, however there may be some contexts where this type of measure would be used.  If it is to be included, it is important to set thresholds locally.</t>
  </si>
  <si>
    <t>CH_3</t>
  </si>
  <si>
    <t>Proportion of under 5 year-olds clinically or laboratory confirmed pneumonia cases who received antibiotic treatment after diagnosis</t>
  </si>
  <si>
    <t>CH_4</t>
  </si>
  <si>
    <t>Under 5 Mortality (deaths per 10,000 per day)</t>
  </si>
  <si>
    <t>&gt;= 4</t>
  </si>
  <si>
    <t>CC_1</t>
  </si>
  <si>
    <t>Chronic Care</t>
  </si>
  <si>
    <t>Percentage of adults with hypertension who received treatment in the last 12 months</t>
  </si>
  <si>
    <t>CD_1</t>
  </si>
  <si>
    <t>Communicable / Non-Communicable Diseases</t>
  </si>
  <si>
    <t>Number of cases or incidence rates for selected diseases relevant to the local context (cholera, measles, acute meningitis, others)</t>
  </si>
  <si>
    <t>Possibly PiN; Severity</t>
  </si>
  <si>
    <t>CD_2</t>
  </si>
  <si>
    <t>Case Fatality Ratio (CFR) for most common diseases</t>
  </si>
  <si>
    <t>CD_3</t>
  </si>
  <si>
    <t>Percentage of children aged six months to 15 years who have received measles vaccination</t>
  </si>
  <si>
    <t>GB_1</t>
  </si>
  <si>
    <t>GBV</t>
  </si>
  <si>
    <t>Proportion of rape survivors who report receiving PEP within 72 hours</t>
  </si>
  <si>
    <t>GB_2</t>
  </si>
  <si>
    <t>% of health facilities providing clinical management of rape (EC, PEP and STI treatment disaggregate by which of the three services are being provided)</t>
  </si>
  <si>
    <t>GB_3</t>
  </si>
  <si>
    <t>Proportion of facilities providing GBV survivors with basic psychosocial support (i.e. first line support or psychological first aid and referrals)</t>
  </si>
  <si>
    <t>ET_1</t>
  </si>
  <si>
    <t>Essential Trauma Care</t>
  </si>
  <si>
    <t>Proportion of health facilities that report capacity to provide Bellwether procedures (caesarian delivery, laparotomy and treatment of open fracture)</t>
  </si>
  <si>
    <t>GC_1</t>
  </si>
  <si>
    <t>General Clinical Services</t>
  </si>
  <si>
    <t>Number of days essential medicines are not available in a one-month period</t>
  </si>
  <si>
    <t>GC_2</t>
  </si>
  <si>
    <t>Number of inpatient beds per 10,000 people</t>
  </si>
  <si>
    <t>&gt;= 18</t>
  </si>
  <si>
    <t>GC_3</t>
  </si>
  <si>
    <t>Number of community health workers per 500 people in rural and hard-to-reach locations</t>
  </si>
  <si>
    <t>GC_4</t>
  </si>
  <si>
    <t>Percentage of population that can access primary healthcare within one hour’s walk from dwellings</t>
  </si>
  <si>
    <t>Accessibility</t>
  </si>
  <si>
    <t>GC_5</t>
  </si>
  <si>
    <t>Percentage of healthcare facilities that deliver essential package of health services</t>
  </si>
  <si>
    <t>IP_1</t>
  </si>
  <si>
    <t>IPC</t>
  </si>
  <si>
    <t>Proportion of healthcare facilities with a trained IPC health worker</t>
  </si>
  <si>
    <t>IP_2</t>
  </si>
  <si>
    <t>Proportion of health care facilities where the main source of water is an improved source, located on premises, from which water is available</t>
  </si>
  <si>
    <t>SR_1</t>
  </si>
  <si>
    <t>SRH</t>
  </si>
  <si>
    <t>Number of HF with Basic Emergency Obstetric Care/ 500,000 population, by administrative unit</t>
  </si>
  <si>
    <t>4+</t>
  </si>
  <si>
    <t>SR_2</t>
  </si>
  <si>
    <t>Number of HF with Comprehensive Emergency Obstetric Care/500,000 population, by administrative unit</t>
  </si>
  <si>
    <t>SR_3</t>
  </si>
  <si>
    <t>Number of skilled birth attendant personnel (doctors, nurses, certified midwives) per 10,000 people</t>
  </si>
  <si>
    <t>SR_4</t>
  </si>
  <si>
    <t>Percentage of health facility births attended by skilled personnel (doctors, nurses, midwives)</t>
  </si>
  <si>
    <t>SR_5</t>
  </si>
  <si>
    <t>Percentage of health facility deliveries by Caesarean section, by administrative unit</t>
  </si>
  <si>
    <t>&gt;= 5% and &lt;= 15%</t>
  </si>
  <si>
    <t>NOT SURE</t>
  </si>
  <si>
    <t>MH_1</t>
  </si>
  <si>
    <t>MHPSS</t>
  </si>
  <si>
    <t>Percentages of medical facilities, social services facilities and community programs who have staff trained to identify mental disorders and to support people with mental health and psychosocial problems</t>
  </si>
  <si>
    <t>MH_2</t>
  </si>
  <si>
    <t>Number of healthcare workers trained on recognised MHPSS topics (such as mhGAP, PM+ and PFA) by community</t>
  </si>
  <si>
    <t>Health System Performance; Health Resources</t>
  </si>
  <si>
    <t>This may actually be a performance measure - depends on if the measure is the number trained (with an expectation for a certain number - in which case there should be a target number), or if it is measuring how many healthcare workers were trained by partners.  If the latter - it is not suitable for use for PiN or Severity</t>
  </si>
  <si>
    <t>NU_1</t>
  </si>
  <si>
    <t>Nutrition</t>
  </si>
  <si>
    <t>Number of health facilities with an inpatient wasting treatment center</t>
  </si>
  <si>
    <t>This indicator requires a threshold to be added - number of wasting treatment centers per xxx</t>
  </si>
  <si>
    <t>NU_2</t>
  </si>
  <si>
    <t>Number of children 0-59 months, who visited a health facility, screened for wasting treatment and bilateral pitting edema (disaggregated by 0-5 months and 6-59 months and sex)</t>
  </si>
  <si>
    <t>NU_3</t>
  </si>
  <si>
    <t>Number of children 0-59 months who were treated at a health facility for wasting and bilateral pitting edema</t>
  </si>
  <si>
    <t>SS_1</t>
  </si>
  <si>
    <t>SSA</t>
  </si>
  <si>
    <t>Percentage of identified SSA incidents verified</t>
  </si>
  <si>
    <t>Contextual Factors</t>
  </si>
  <si>
    <t>NEW</t>
  </si>
  <si>
    <t>% of people reporting they are unable to access health services when required</t>
  </si>
  <si>
    <t>Cost of medical services</t>
  </si>
  <si>
    <t>NOT SET</t>
  </si>
  <si>
    <t>Barriers to Health Care</t>
  </si>
  <si>
    <t>Availability; Accessibility; Acceptability</t>
  </si>
  <si>
    <t>Measure</t>
  </si>
  <si>
    <t>Useage</t>
  </si>
  <si>
    <t>HS_03</t>
  </si>
  <si>
    <t>HR_01</t>
  </si>
  <si>
    <t>HR_02</t>
  </si>
  <si>
    <t>HR_03</t>
  </si>
  <si>
    <t>HR_04</t>
  </si>
  <si>
    <t>HR_05</t>
  </si>
  <si>
    <t>HR_06</t>
  </si>
  <si>
    <t>HR_07</t>
  </si>
  <si>
    <t>HR_08</t>
  </si>
  <si>
    <t>HR_10</t>
  </si>
  <si>
    <t>EXTERNAL</t>
  </si>
  <si>
    <t>WASH</t>
  </si>
  <si>
    <t>Food Security</t>
  </si>
  <si>
    <t>Percent of households having access to an improved water source</t>
  </si>
  <si>
    <t>EJ_01</t>
  </si>
  <si>
    <t>EJ_02</t>
  </si>
  <si>
    <t>HR_12</t>
  </si>
  <si>
    <t>HR_13</t>
  </si>
  <si>
    <t>HR_14</t>
  </si>
  <si>
    <t>HR_15</t>
  </si>
  <si>
    <t>HR_16</t>
  </si>
  <si>
    <t>HR_17</t>
  </si>
  <si>
    <t>HR_18</t>
  </si>
  <si>
    <t>HR_19</t>
  </si>
  <si>
    <t>HR_20</t>
  </si>
  <si>
    <t>IPC Severity Level</t>
  </si>
  <si>
    <t>CF_03a</t>
  </si>
  <si>
    <t>CF_03b</t>
  </si>
  <si>
    <t>PiN_Threshold</t>
  </si>
  <si>
    <t>Score</t>
  </si>
  <si>
    <t>General</t>
  </si>
  <si>
    <t>Trauma</t>
  </si>
  <si>
    <t>PiN_Code</t>
  </si>
  <si>
    <t>PiN_Per</t>
  </si>
  <si>
    <t>Can be used for PiN but requires thresholds - perhaps less suitable for severity, but still possible if thresholds can be identified.  Can always be included through Expert Judgement</t>
  </si>
  <si>
    <t>If thresholds can be set for individual answer options, then it might be used for PiN or Severity.  More likely, it would be incorporated through expert judgement and provide added insite for the analysis process</t>
  </si>
  <si>
    <t>≥30%</t>
  </si>
  <si>
    <t>GAM (weight for height z-score)</t>
  </si>
  <si>
    <t>EndFormula</t>
  </si>
  <si>
    <t>Severity 1 &amp; 2</t>
  </si>
  <si>
    <t>&lt; 15</t>
  </si>
  <si>
    <t>=</t>
  </si>
  <si>
    <t>Percentage of children aged six months to 15 years who have received measles vaccination - urban</t>
  </si>
  <si>
    <t>HS_06a</t>
  </si>
  <si>
    <t>HS_06b</t>
  </si>
  <si>
    <t>Percentage of children aged six months to 15 years who have received measles vaccination - rural</t>
  </si>
  <si>
    <t>HS_06c</t>
  </si>
  <si>
    <t>Percentage of children aged six months to 15 years who have received measles vaccination - (no distinction)</t>
  </si>
  <si>
    <t>&lt;85%</t>
  </si>
  <si>
    <t>&lt;80%</t>
  </si>
  <si>
    <t>&gt;=90%</t>
  </si>
  <si>
    <t>Severity 5, no 2</t>
  </si>
  <si>
    <t>Logical_Operator</t>
  </si>
  <si>
    <t>Framework_Class</t>
  </si>
  <si>
    <t>IPC (needs)</t>
  </si>
  <si>
    <t>IPC (Severity)</t>
  </si>
  <si>
    <t>Number of Health Facilities (Primary)</t>
  </si>
  <si>
    <t>Number of inpatient beds</t>
  </si>
  <si>
    <t>Number of community health workers in hard-to-reach areas</t>
  </si>
  <si>
    <t>Number of HF with Basic Emergency Obstetric Care</t>
  </si>
  <si>
    <t>Number of HF with Comprehensive Emergency Obstetric Care</t>
  </si>
  <si>
    <t>Number of skilled birth attendant personnel (doctors, nurses, certified midwives)</t>
  </si>
  <si>
    <t>Not suitable for PiN or Severity without adapting the indicator to be number per xx of the population - and setting a local threshold</t>
  </si>
  <si>
    <t>In it's current structure, it is only suitable for Severity.  To use it for PiN, it would need to be adapted to Number per xx population, with thresholds set.</t>
  </si>
  <si>
    <t>If proportional thresholds are added it could be used for severity, but to be used for PiN it would need to be adjusted to number per xx of the population</t>
  </si>
  <si>
    <t>Severity (thresholds need to be set).  Not suitable for PiN.</t>
  </si>
  <si>
    <t>Could be used for PiN if thresholds were set but how to calculate PiN would need to be carefully considered.  It may need to be adapted to number per xx</t>
  </si>
  <si>
    <t>To be used for PiN the indicator would need to be adjusted to Number per xx</t>
  </si>
  <si>
    <t>This is arguably an indicator of functionality.  It may be considered as something factored in before producing the results used for HR_01</t>
  </si>
  <si>
    <t>Could be considered for PiN but it would be necessary to deteremine thresholds and potentially shift the indicator to number per xx of the population</t>
  </si>
  <si>
    <t>Requires a threshold to be added - suggested default is 80% but this may be too low</t>
  </si>
  <si>
    <t>Percentage of household having access to an improved water source</t>
  </si>
  <si>
    <t>GAM</t>
  </si>
  <si>
    <t>CF_04b</t>
  </si>
  <si>
    <t>CF_04a</t>
  </si>
  <si>
    <t>SAM</t>
  </si>
  <si>
    <t>Propotion-Total</t>
  </si>
  <si>
    <t xml:space="preserve">Severity (Note, to use this indicator to calculate severity requires calculating the severity at the household level and then averaging it for the area.  This would need to be done manually and then input as a separate 'Severity' variable.) </t>
  </si>
  <si>
    <t>IPC - Households classified as Phases 4 and 5</t>
  </si>
  <si>
    <t>IPC - Households classified as Phase 4 + Households Classified as Phase 5</t>
  </si>
  <si>
    <t>IPC - Overall Phase for the area</t>
  </si>
  <si>
    <t>% of health facilities providing clinical management of rape</t>
  </si>
  <si>
    <t>HR_06b</t>
  </si>
  <si>
    <t>HR_12b</t>
  </si>
  <si>
    <t>HR_14b</t>
  </si>
  <si>
    <t>[FORMULA]
Number of HF with BEmOC per xx</t>
  </si>
  <si>
    <t>[FORMULA] Number of skilled birth attendants per xx</t>
  </si>
  <si>
    <t>Number of inpatient beds per xx</t>
  </si>
  <si>
    <t>Max PiN Health Resources</t>
  </si>
  <si>
    <t>Max PiN Health Stataus</t>
  </si>
  <si>
    <t>Max PiN Contextual Factors</t>
  </si>
  <si>
    <t>IPC (Phase 4 + Phase 5)</t>
  </si>
  <si>
    <t>Proportion (Calculated) 'in Need'</t>
  </si>
  <si>
    <t>Percentage of children aged six months to 15 years who have received measles vaccination (URBAN)</t>
  </si>
  <si>
    <t>Percentage of children aged six months to 15 years who have received measles vaccination (RURAL)</t>
  </si>
  <si>
    <t>Percentage of children aged six months to 15 years who have received measles vaccination (NO DISTINCTION)</t>
  </si>
  <si>
    <t>Mean Health Resources</t>
  </si>
  <si>
    <t>Mean Contextual Factors</t>
  </si>
  <si>
    <t>Mean Health Status</t>
  </si>
  <si>
    <t>Yes</t>
  </si>
  <si>
    <t>Severity Weighting</t>
  </si>
  <si>
    <t>Max Health Resources</t>
  </si>
  <si>
    <t>Max Health Status</t>
  </si>
  <si>
    <t>Max Contextual Factors</t>
  </si>
  <si>
    <t>M_HR</t>
  </si>
  <si>
    <t>M_HS</t>
  </si>
  <si>
    <t>Arnor</t>
  </si>
  <si>
    <t>Arthedain</t>
  </si>
  <si>
    <t>Cardolan</t>
  </si>
  <si>
    <t>Rhudaur</t>
  </si>
  <si>
    <t>Beleriand</t>
  </si>
  <si>
    <t>East Beleriand</t>
  </si>
  <si>
    <t>West Beleriand</t>
  </si>
  <si>
    <t>Endedwaith</t>
  </si>
  <si>
    <t>Dunland</t>
  </si>
  <si>
    <t>Eriador</t>
  </si>
  <si>
    <t>Angmar</t>
  </si>
  <si>
    <t>Eregion</t>
  </si>
  <si>
    <t>The Shire</t>
  </si>
  <si>
    <t>Thorin's Halls</t>
  </si>
  <si>
    <t>Forodwaith</t>
  </si>
  <si>
    <t>Cape of Forochel</t>
  </si>
  <si>
    <t>Forochel</t>
  </si>
  <si>
    <t>Gondor</t>
  </si>
  <si>
    <t>Anfalas</t>
  </si>
  <si>
    <t>Anorien</t>
  </si>
  <si>
    <t>Belfalas</t>
  </si>
  <si>
    <t>Dor-en-Ernil</t>
  </si>
  <si>
    <t>Ethir Anduin</t>
  </si>
  <si>
    <t>Ithilien</t>
  </si>
  <si>
    <t>Lamedon</t>
  </si>
  <si>
    <t>Lebennin</t>
  </si>
  <si>
    <t>Lossarnach</t>
  </si>
  <si>
    <t>Morthond</t>
  </si>
  <si>
    <t>Pinnath Gelin</t>
  </si>
  <si>
    <t>Ringlo Vale</t>
  </si>
  <si>
    <t>Harad</t>
  </si>
  <si>
    <t>Corsairs</t>
  </si>
  <si>
    <t>Far Harad</t>
  </si>
  <si>
    <t>Near harad</t>
  </si>
  <si>
    <t>Umbar</t>
  </si>
  <si>
    <t>Lindon</t>
  </si>
  <si>
    <t>Ered Luin</t>
  </si>
  <si>
    <t>Forlindon</t>
  </si>
  <si>
    <t>Harlindon</t>
  </si>
  <si>
    <t>Mordor</t>
  </si>
  <si>
    <t>Gorgoroth</t>
  </si>
  <si>
    <t>Lithlad</t>
  </si>
  <si>
    <t>Nurn</t>
  </si>
  <si>
    <t>Udun</t>
  </si>
  <si>
    <t>Rhovanion</t>
  </si>
  <si>
    <t>Dol Guldur</t>
  </si>
  <si>
    <t>Iron Hills</t>
  </si>
  <si>
    <t>Khazad-dum</t>
  </si>
  <si>
    <t>Kingdom of Dale</t>
  </si>
  <si>
    <t>Lonely Mountain</t>
  </si>
  <si>
    <t>Lothlorien</t>
  </si>
  <si>
    <t>Woodland Realm</t>
  </si>
  <si>
    <t>Rhun</t>
  </si>
  <si>
    <t>Cuivienen</t>
  </si>
  <si>
    <t>Dorwinion</t>
  </si>
  <si>
    <t>Hildorien</t>
  </si>
  <si>
    <t>Wild Wood</t>
  </si>
  <si>
    <t>Rohan</t>
  </si>
  <si>
    <t>Eastemnet</t>
  </si>
  <si>
    <t>Eastfold</t>
  </si>
  <si>
    <t>Folde</t>
  </si>
  <si>
    <t>The Wold</t>
  </si>
  <si>
    <t>Westemnet</t>
  </si>
  <si>
    <t>Westfold</t>
  </si>
  <si>
    <t>First_Admin</t>
  </si>
  <si>
    <t>Data_Source</t>
  </si>
  <si>
    <t>Data_Reliability</t>
  </si>
  <si>
    <t>Please check these thresholds with the WASH cluster as there is no set global standard and they are determined locally</t>
  </si>
  <si>
    <t>Notes</t>
  </si>
  <si>
    <t xml:space="preserve"> </t>
  </si>
  <si>
    <t>CRITICAL</t>
  </si>
  <si>
    <t>Read Me</t>
  </si>
  <si>
    <t>The following information provides the metadata for the sheets included in this calculator.  This calculator is designed to facilitate the calculation of PiN and Severity figures for the Health Sector/Cluster.  It should be considered a tool to assist health cluster partners in their discussions on health needs in a given area</t>
  </si>
  <si>
    <t>In the tool, data should only be entered in columns in WHITE, if the columns are in a shade of grey, that indicates the presence of a formula and no data should be entered.</t>
  </si>
  <si>
    <t>GHC_CoreIndicators_Measurement</t>
  </si>
  <si>
    <t>Variables</t>
  </si>
  <si>
    <t>Description</t>
  </si>
  <si>
    <t>The code associated with the indicator used in named ranges.  Any indicators used for PiN and/or Severity must have a code provided it is important to ensure that the codes exactly match to the named ranges they are associated with on the Indicator_Input sheet and the Calculator sheet.</t>
  </si>
  <si>
    <t>Indicates the category the indicator is currently classified under in the GHC Core Indicator List</t>
  </si>
  <si>
    <t>The indicator Text</t>
  </si>
  <si>
    <t>Identifies any indicators that have been classified as 'critical' (meaning where a Severity 5 equates to imminent death)</t>
  </si>
  <si>
    <t>A binary threshold used to calculate PiN</t>
  </si>
  <si>
    <t>The measurement used to calculate PiN - there are 4 possible options, Per (which measures a rate), Proportion (where a certain percentage is being targeted), Proportion-Total (Where everyone in that proportion is considered 'in need'), and Number (where the total number is taken as 'in need').  As these codes are used in formulas in the Calculator Sheet, it is essential to ensure they are input correctly and that their spelling exactly matches.  If a new measurement option is added, formulas in the calculator will need to be adjusted.</t>
  </si>
  <si>
    <t>Only relevant for rate indicators, this identifies the denominator used in the rate.</t>
  </si>
  <si>
    <t>Determins how to compare results to the available severity thresholds.</t>
  </si>
  <si>
    <t>Identifys which order the formula works in, either starting from Severity 1 and ending at Severity 5, or vice versa.  There are four different options for this variable, Severity 1, Severity 1 &amp; 2 (where the formula starts with Severity 5, but has the same thresholds for both Severity 1 and Severity 2), Severity 5 and Severity 5, no 2 (where the formula starts with Severity 1, skips Severity 2 and ends with 5)</t>
  </si>
  <si>
    <t>threshold for Severity 1</t>
  </si>
  <si>
    <t>threshold for Severity 2, if the same threshold is provided for Severity 1, then the result would be 1.</t>
  </si>
  <si>
    <t>threshold for Severity 3</t>
  </si>
  <si>
    <t>Threshold for Severity 4</t>
  </si>
  <si>
    <t>Threshold for Severity 5</t>
  </si>
  <si>
    <t>Each indicator is grouped into one of four categories under the health needs framework (Health Resources, Health Status, Contextual Factors, and Health System Performance)</t>
  </si>
  <si>
    <t>For Health Resources indicators, a sub-class is provided from one of three options: Availability, Accessibility, and Acceptability</t>
  </si>
  <si>
    <t>Denotes recommended usage for the indicator (e.g. if it is suitable for either PiN or Severity)</t>
  </si>
  <si>
    <t>Identifies the source of the data</t>
  </si>
  <si>
    <t>Should be set on a scale from 1 (completely unreliable) to 5 (very reliable)</t>
  </si>
  <si>
    <t>Any additional notes on indicators.</t>
  </si>
  <si>
    <t>COVID Vaccination Rate (Number vaccinated per 1,000 people)</t>
  </si>
  <si>
    <t>Case Fatality Ratio for COVID-19 (expressed as a percent)</t>
  </si>
  <si>
    <t>Testing Rate for COVID-19 (number of tests per 1,000)</t>
  </si>
  <si>
    <t>HS_07</t>
  </si>
  <si>
    <t>HS_08</t>
  </si>
  <si>
    <t>HS_09</t>
  </si>
  <si>
    <t>COVID-19 Vaccination Rate</t>
  </si>
  <si>
    <t>Case Fatality Ratio (CFR) for COVID-19</t>
  </si>
  <si>
    <t>Testing Rate for COVID-19</t>
  </si>
  <si>
    <t>80%+</t>
  </si>
  <si>
    <t>Should only be used if data is available at the level of analysis.  Included vaccines should be those on the EUL list</t>
  </si>
  <si>
    <t>Severity - Thresholds must be set for each context.  Please contact GHC for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</si>
</sst>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3" formatCode="_(* #,##0.00_);_(* \(#,##0.00\);_(* &quot;-&quot;??_);_(@_)"/>
    <numFmt numFmtId="164" formatCode="_(* #,##0_);_(* \(#,##0\);_(* &quot;-&quot;??_);_(@_)"/>
    <numFmt numFmtId="165" formatCode="0.0%"/>
  </numFmts>
  <fonts count="21" x14ac:knownFonts="1">
    <font>
      <sz val="12"/>
      <color theme="1"/>
      <name val="Calibri"/>
      <family val="2"/>
      <scheme val="minor"/>
    </font>
    <font>
      <sz val="12"/>
      <color theme="1"/>
      <name val="Calibri"/>
      <family val="2"/>
      <scheme val="minor"/>
    </font>
    <font>
      <sz val="8"/>
      <name val="Calibri"/>
      <family val="2"/>
      <scheme val="minor"/>
    </font>
    <font>
      <sz val="12"/>
      <color theme="1"/>
      <name val="Century Gothic"/>
      <family val="1"/>
    </font>
    <font>
      <b/>
      <sz val="12"/>
      <color theme="1"/>
      <name val="Century Gothic"/>
      <family val="1"/>
    </font>
    <font>
      <b/>
      <sz val="12"/>
      <color theme="0"/>
      <name val="Century Gothic"/>
      <family val="1"/>
    </font>
    <font>
      <b/>
      <sz val="14"/>
      <color rgb="FF1F6EA7"/>
      <name val="Century Gothic"/>
      <family val="1"/>
    </font>
    <font>
      <b/>
      <sz val="22"/>
      <color rgb="FF009FE3"/>
      <name val="Century Gothic"/>
      <family val="1"/>
    </font>
    <font>
      <b/>
      <sz val="12"/>
      <color rgb="FF1F6EA7"/>
      <name val="Century Gothic"/>
      <family val="1"/>
    </font>
    <font>
      <sz val="11"/>
      <color theme="1"/>
      <name val="Calibri"/>
      <family val="2"/>
      <scheme val="minor"/>
    </font>
    <font>
      <sz val="22"/>
      <color rgb="FF1F6EA7"/>
      <name val="Century Gothic"/>
      <family val="1"/>
    </font>
    <font>
      <sz val="36"/>
      <color rgb="FF1F6EA7"/>
      <name val="Century Gothic"/>
      <family val="1"/>
    </font>
    <font>
      <sz val="14"/>
      <color rgb="FF1F6EA7"/>
      <name val="Calibri"/>
      <family val="2"/>
      <scheme val="minor"/>
    </font>
    <font>
      <sz val="14"/>
      <color rgb="FF1F6EA7"/>
      <name val="Century Gothic"/>
      <family val="1"/>
    </font>
    <font>
      <sz val="9"/>
      <color theme="1"/>
      <name val="Segoe UI Light"/>
      <family val="2"/>
    </font>
    <font>
      <b/>
      <sz val="11"/>
      <color theme="1"/>
      <name val="Century Gothic"/>
      <family val="1"/>
    </font>
    <font>
      <b/>
      <sz val="10"/>
      <color theme="1"/>
      <name val="Century Gothic"/>
      <family val="1"/>
    </font>
    <font>
      <sz val="12"/>
      <color rgb="FF000000"/>
      <name val="Century Gothic"/>
      <family val="1"/>
    </font>
    <font>
      <sz val="12"/>
      <color rgb="FF1F6EA7"/>
      <name val="Century Gothic"/>
      <family val="1"/>
    </font>
    <font>
      <b/>
      <sz val="10"/>
      <color rgb="FF1F6EA7"/>
      <name val="Century Gothic"/>
      <family val="1"/>
    </font>
    <font>
      <sz val="16"/>
      <color rgb="FF1F6EA7"/>
      <name val="Century Gothic"/>
      <family val="1"/>
    </font>
  </fonts>
  <fills count="13">
    <fill>
      <patternFill patternType="none"/>
    </fill>
    <fill>
      <patternFill patternType="gray125"/>
    </fill>
    <fill>
      <patternFill patternType="solid">
        <fgColor rgb="FF009FE3"/>
        <bgColor indexed="64"/>
      </patternFill>
    </fill>
    <fill>
      <patternFill patternType="solid">
        <fgColor theme="0" tint="-0.14999847407452621"/>
        <bgColor indexed="64"/>
      </patternFill>
    </fill>
    <fill>
      <patternFill patternType="solid">
        <fgColor rgb="FFB9DCFE"/>
        <bgColor indexed="64"/>
      </patternFill>
    </fill>
    <fill>
      <patternFill patternType="solid">
        <fgColor rgb="FFC4C4C4"/>
        <bgColor indexed="64"/>
      </patternFill>
    </fill>
    <fill>
      <patternFill patternType="solid">
        <fgColor rgb="FFE9F6FF"/>
        <bgColor indexed="64"/>
      </patternFill>
    </fill>
    <fill>
      <patternFill patternType="solid">
        <fgColor rgb="FF1F6EA7"/>
        <bgColor indexed="64"/>
      </patternFill>
    </fill>
    <fill>
      <patternFill patternType="solid">
        <fgColor theme="7"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rgb="FFC00000"/>
        <bgColor indexed="64"/>
      </patternFill>
    </fill>
    <fill>
      <patternFill patternType="solid">
        <fgColor rgb="FFDFECF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4" fillId="0" borderId="0"/>
  </cellStyleXfs>
  <cellXfs count="105">
    <xf numFmtId="0" fontId="0" fillId="0" borderId="0" xfId="0"/>
    <xf numFmtId="0" fontId="3" fillId="0" borderId="0" xfId="0" applyFont="1"/>
    <xf numFmtId="0" fontId="3" fillId="0" borderId="0" xfId="0" applyFont="1" applyAlignment="1">
      <alignment horizontal="center" wrapText="1"/>
    </xf>
    <xf numFmtId="0" fontId="4" fillId="2" borderId="1" xfId="0" applyFont="1" applyFill="1" applyBorder="1" applyAlignment="1">
      <alignment horizontal="center" vertical="center" wrapText="1"/>
    </xf>
    <xf numFmtId="0" fontId="3" fillId="3" borderId="1" xfId="0" applyFont="1" applyFill="1" applyBorder="1"/>
    <xf numFmtId="0" fontId="3" fillId="0" borderId="1" xfId="0" applyFont="1" applyBorder="1"/>
    <xf numFmtId="164" fontId="3" fillId="0" borderId="1" xfId="1" applyNumberFormat="1" applyFont="1" applyBorder="1"/>
    <xf numFmtId="9" fontId="3" fillId="0" borderId="1" xfId="2" applyFont="1" applyBorder="1"/>
    <xf numFmtId="0" fontId="4" fillId="2" borderId="1" xfId="0" applyFont="1" applyFill="1" applyBorder="1"/>
    <xf numFmtId="0" fontId="4" fillId="4" borderId="2" xfId="0" applyFont="1" applyFill="1" applyBorder="1" applyAlignment="1">
      <alignment horizontal="center" vertical="center" wrapText="1"/>
    </xf>
    <xf numFmtId="0" fontId="0" fillId="0" borderId="0" xfId="0" applyFont="1"/>
    <xf numFmtId="0" fontId="3" fillId="6" borderId="1" xfId="0" applyFont="1" applyFill="1" applyBorder="1" applyAlignment="1">
      <alignment horizontal="center" vertical="center" wrapText="1"/>
    </xf>
    <xf numFmtId="0" fontId="5" fillId="7" borderId="1" xfId="0" applyFont="1" applyFill="1" applyBorder="1" applyAlignment="1">
      <alignment horizontal="center"/>
    </xf>
    <xf numFmtId="0" fontId="6" fillId="0" borderId="0" xfId="0" applyFont="1"/>
    <xf numFmtId="0" fontId="7" fillId="0" borderId="0" xfId="0" applyFont="1"/>
    <xf numFmtId="0" fontId="3" fillId="0" borderId="1" xfId="0" applyFont="1" applyFill="1" applyBorder="1"/>
    <xf numFmtId="0" fontId="3" fillId="6" borderId="1" xfId="0" applyFont="1" applyFill="1" applyBorder="1" applyAlignment="1">
      <alignment horizontal="left" vertical="center" wrapText="1"/>
    </xf>
    <xf numFmtId="0" fontId="3" fillId="5" borderId="1" xfId="0" applyFont="1" applyFill="1" applyBorder="1"/>
    <xf numFmtId="0" fontId="5" fillId="7" borderId="1" xfId="0" applyFont="1" applyFill="1" applyBorder="1" applyAlignment="1">
      <alignment horizontal="center" vertical="center" wrapText="1"/>
    </xf>
    <xf numFmtId="43" fontId="3" fillId="0" borderId="0" xfId="0" applyNumberFormat="1" applyFont="1"/>
    <xf numFmtId="37" fontId="3" fillId="0" borderId="1" xfId="1" applyNumberFormat="1" applyFont="1" applyFill="1" applyBorder="1" applyAlignment="1">
      <alignment horizontal="center" vertical="center" wrapText="1"/>
    </xf>
    <xf numFmtId="37" fontId="8" fillId="0" borderId="0" xfId="1" applyNumberFormat="1" applyFont="1" applyFill="1" applyBorder="1" applyAlignment="1">
      <alignment horizontal="center" vertical="center" wrapText="1"/>
    </xf>
    <xf numFmtId="0" fontId="5" fillId="7" borderId="1" xfId="0" applyFont="1" applyFill="1" applyBorder="1" applyAlignment="1">
      <alignment horizontal="center"/>
    </xf>
    <xf numFmtId="0" fontId="0" fillId="7" borderId="0" xfId="0" applyFill="1"/>
    <xf numFmtId="0" fontId="0" fillId="7" borderId="0" xfId="0" applyFont="1" applyFill="1"/>
    <xf numFmtId="0" fontId="10" fillId="0" borderId="0" xfId="0" applyFont="1"/>
    <xf numFmtId="0" fontId="11" fillId="0" borderId="0" xfId="0" applyFont="1"/>
    <xf numFmtId="37" fontId="0" fillId="0" borderId="0" xfId="0" applyNumberFormat="1"/>
    <xf numFmtId="37" fontId="3" fillId="0" borderId="0" xfId="0" applyNumberFormat="1" applyFont="1"/>
    <xf numFmtId="0" fontId="12" fillId="0" borderId="0" xfId="0" applyFont="1"/>
    <xf numFmtId="0" fontId="13" fillId="0" borderId="0" xfId="0" applyFont="1"/>
    <xf numFmtId="39" fontId="13" fillId="0" borderId="0" xfId="0" applyNumberFormat="1" applyFont="1"/>
    <xf numFmtId="37" fontId="13" fillId="0" borderId="0" xfId="0" applyNumberFormat="1" applyFont="1"/>
    <xf numFmtId="37" fontId="0" fillId="0" borderId="0" xfId="0" applyNumberFormat="1" applyFont="1"/>
    <xf numFmtId="0" fontId="0" fillId="0" borderId="0" xfId="0" applyFont="1" applyBorder="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3" fillId="8" borderId="2" xfId="0" applyFont="1" applyFill="1" applyBorder="1"/>
    <xf numFmtId="0" fontId="3" fillId="8" borderId="6" xfId="0" applyFont="1" applyFill="1" applyBorder="1"/>
    <xf numFmtId="0" fontId="3" fillId="7" borderId="6" xfId="0" applyFont="1" applyFill="1" applyBorder="1"/>
    <xf numFmtId="0" fontId="3" fillId="2" borderId="1" xfId="0" applyFont="1" applyFill="1" applyBorder="1"/>
    <xf numFmtId="0" fontId="3" fillId="4" borderId="1" xfId="0" applyFont="1" applyFill="1" applyBorder="1" applyAlignment="1">
      <alignment horizontal="center"/>
    </xf>
    <xf numFmtId="3" fontId="3" fillId="0" borderId="1" xfId="2" applyNumberFormat="1" applyFont="1" applyBorder="1"/>
    <xf numFmtId="39" fontId="3" fillId="0" borderId="1" xfId="1" applyNumberFormat="1" applyFont="1" applyFill="1" applyBorder="1" applyAlignment="1">
      <alignment horizontal="center" vertical="center" wrapText="1"/>
    </xf>
    <xf numFmtId="9" fontId="3" fillId="0" borderId="0" xfId="2" applyFont="1"/>
    <xf numFmtId="0" fontId="5" fillId="7" borderId="1" xfId="0" applyFont="1" applyFill="1" applyBorder="1" applyAlignment="1">
      <alignment horizontal="center"/>
    </xf>
    <xf numFmtId="0" fontId="4"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4"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4" fillId="0" borderId="11"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4"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4" fillId="0" borderId="15" xfId="0" applyFont="1" applyBorder="1" applyAlignment="1">
      <alignment vertical="center" wrapText="1"/>
    </xf>
    <xf numFmtId="0" fontId="3" fillId="0" borderId="16" xfId="0" applyFont="1" applyBorder="1" applyAlignment="1">
      <alignment vertical="center" wrapText="1"/>
    </xf>
    <xf numFmtId="0" fontId="4" fillId="0" borderId="17" xfId="0" applyFont="1" applyBorder="1" applyAlignment="1">
      <alignmen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9" fontId="3" fillId="0" borderId="1" xfId="0" applyNumberFormat="1" applyFont="1" applyBorder="1" applyAlignment="1">
      <alignment vertical="center" wrapText="1"/>
    </xf>
    <xf numFmtId="0" fontId="4" fillId="0" borderId="21" xfId="0" applyFont="1" applyBorder="1" applyAlignment="1">
      <alignment vertical="center" wrapText="1"/>
    </xf>
    <xf numFmtId="0" fontId="17" fillId="0" borderId="1" xfId="0" applyFont="1" applyBorder="1"/>
    <xf numFmtId="0" fontId="17" fillId="0" borderId="3" xfId="0" applyFont="1" applyBorder="1"/>
    <xf numFmtId="9" fontId="3" fillId="0" borderId="1" xfId="0" applyNumberFormat="1" applyFont="1" applyBorder="1"/>
    <xf numFmtId="165" fontId="8" fillId="0" borderId="0" xfId="2" applyNumberFormat="1" applyFont="1" applyFill="1" applyBorder="1" applyAlignment="1">
      <alignment horizontal="center" vertical="center" wrapText="1"/>
    </xf>
    <xf numFmtId="8" fontId="0" fillId="0" borderId="0" xfId="0" applyNumberFormat="1"/>
    <xf numFmtId="0" fontId="18" fillId="0" borderId="0" xfId="0" applyFont="1"/>
    <xf numFmtId="9" fontId="18" fillId="0" borderId="0" xfId="0" applyNumberFormat="1" applyFont="1" applyAlignment="1">
      <alignment horizontal="center" vertical="center"/>
    </xf>
    <xf numFmtId="0" fontId="8" fillId="0" borderId="0" xfId="0" applyFont="1" applyAlignment="1">
      <alignment horizontal="right" vertical="center"/>
    </xf>
    <xf numFmtId="0" fontId="19" fillId="0" borderId="0" xfId="0" applyFont="1" applyAlignment="1">
      <alignment horizontal="center" wrapText="1"/>
    </xf>
    <xf numFmtId="164" fontId="3" fillId="10" borderId="3" xfId="1" applyNumberFormat="1" applyFont="1" applyFill="1" applyBorder="1"/>
    <xf numFmtId="164" fontId="3" fillId="10" borderId="1" xfId="1" applyNumberFormat="1" applyFont="1" applyFill="1" applyBorder="1"/>
    <xf numFmtId="0" fontId="4" fillId="11" borderId="2"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3" fillId="11" borderId="6" xfId="0" applyFont="1" applyFill="1" applyBorder="1"/>
    <xf numFmtId="0" fontId="4" fillId="0" borderId="0" xfId="0" applyFont="1" applyAlignment="1">
      <alignment wrapText="1"/>
    </xf>
    <xf numFmtId="0" fontId="3" fillId="0" borderId="0" xfId="0" applyFont="1" applyAlignment="1">
      <alignment wrapText="1"/>
    </xf>
    <xf numFmtId="0" fontId="3" fillId="6" borderId="24" xfId="0" applyFont="1" applyFill="1" applyBorder="1" applyAlignment="1">
      <alignment wrapText="1"/>
    </xf>
    <xf numFmtId="0" fontId="3" fillId="6" borderId="25" xfId="0" applyFont="1" applyFill="1" applyBorder="1" applyAlignment="1">
      <alignment wrapText="1"/>
    </xf>
    <xf numFmtId="0" fontId="3" fillId="12" borderId="24" xfId="0" applyFont="1" applyFill="1" applyBorder="1"/>
    <xf numFmtId="0" fontId="3" fillId="12" borderId="25" xfId="0" applyFont="1" applyFill="1" applyBorder="1" applyAlignment="1">
      <alignment wrapText="1"/>
    </xf>
    <xf numFmtId="0" fontId="3" fillId="12" borderId="26" xfId="0" applyFont="1" applyFill="1" applyBorder="1"/>
    <xf numFmtId="0" fontId="3" fillId="12" borderId="27" xfId="0" applyFont="1" applyFill="1" applyBorder="1" applyAlignment="1">
      <alignment wrapText="1"/>
    </xf>
    <xf numFmtId="0" fontId="4" fillId="2" borderId="1" xfId="0" applyFont="1" applyFill="1" applyBorder="1" applyAlignment="1">
      <alignment vertical="center" wrapText="1"/>
    </xf>
    <xf numFmtId="0" fontId="3" fillId="0" borderId="1" xfId="0" applyFont="1" applyFill="1" applyBorder="1" applyAlignment="1">
      <alignment vertical="center" wrapText="1"/>
    </xf>
    <xf numFmtId="0" fontId="3" fillId="9" borderId="1" xfId="0" applyFont="1" applyFill="1" applyBorder="1" applyAlignment="1">
      <alignment vertical="center" wrapText="1"/>
    </xf>
    <xf numFmtId="0" fontId="20" fillId="0" borderId="0" xfId="0" applyFont="1" applyFill="1" applyBorder="1"/>
    <xf numFmtId="164" fontId="3" fillId="0" borderId="1" xfId="1" applyNumberFormat="1" applyFont="1" applyFill="1" applyBorder="1"/>
    <xf numFmtId="0" fontId="3" fillId="0" borderId="0" xfId="0" applyFont="1" applyAlignment="1">
      <alignment horizontal="center" wrapText="1"/>
    </xf>
    <xf numFmtId="0" fontId="4" fillId="2" borderId="22" xfId="0" applyFont="1" applyFill="1" applyBorder="1" applyAlignment="1">
      <alignment horizontal="center" wrapText="1"/>
    </xf>
    <xf numFmtId="0" fontId="4" fillId="2" borderId="23" xfId="0" applyFont="1" applyFill="1" applyBorder="1" applyAlignment="1">
      <alignment horizontal="center" wrapText="1"/>
    </xf>
    <xf numFmtId="0" fontId="5" fillId="7" borderId="18" xfId="0" applyFont="1" applyFill="1" applyBorder="1" applyAlignment="1">
      <alignment horizontal="center"/>
    </xf>
    <xf numFmtId="0" fontId="5" fillId="7" borderId="20" xfId="0" applyFont="1" applyFill="1" applyBorder="1" applyAlignment="1">
      <alignment horizontal="center"/>
    </xf>
    <xf numFmtId="0" fontId="5" fillId="7" borderId="1" xfId="0" applyFont="1" applyFill="1" applyBorder="1" applyAlignment="1">
      <alignment horizontal="center"/>
    </xf>
    <xf numFmtId="0" fontId="5" fillId="7" borderId="4" xfId="0" applyFont="1" applyFill="1" applyBorder="1" applyAlignment="1">
      <alignment horizontal="center"/>
    </xf>
    <xf numFmtId="0" fontId="5" fillId="7" borderId="19" xfId="0" applyFont="1" applyFill="1" applyBorder="1" applyAlignment="1">
      <alignment horizontal="center"/>
    </xf>
    <xf numFmtId="0" fontId="5" fillId="7" borderId="5" xfId="0" applyFont="1" applyFill="1" applyBorder="1" applyAlignment="1">
      <alignment horizontal="center"/>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cellXfs>
  <cellStyles count="5">
    <cellStyle name="Comma" xfId="1" builtinId="3"/>
    <cellStyle name="Normal" xfId="0" builtinId="0"/>
    <cellStyle name="Normal 3" xfId="4" xr:uid="{67F36078-8F96-7744-8C83-657A5828A36F}"/>
    <cellStyle name="Normal 3 4" xfId="3" xr:uid="{8472A625-F8FF-7746-B1B7-CFBC42F58A8E}"/>
    <cellStyle name="Percent" xfId="2" builtinId="5"/>
  </cellStyles>
  <dxfs count="132">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FEAB9"/>
        </patternFill>
      </fill>
    </dxf>
    <dxf>
      <fill>
        <patternFill>
          <bgColor rgb="FFFFEAB9"/>
        </patternFill>
      </fill>
    </dxf>
    <dxf>
      <fill>
        <patternFill>
          <bgColor rgb="FFFFEAB9"/>
        </patternFill>
      </fill>
    </dxf>
    <dxf>
      <fill>
        <patternFill>
          <bgColor rgb="FFFFEAB9"/>
        </patternFill>
      </fill>
    </dxf>
    <dxf>
      <fill>
        <patternFill>
          <bgColor rgb="FFFFEAB9"/>
        </patternFill>
      </fill>
    </dxf>
    <dxf>
      <fill>
        <patternFill>
          <bgColor rgb="FFF8D670"/>
        </patternFill>
      </fill>
    </dxf>
    <dxf>
      <fill>
        <patternFill>
          <bgColor rgb="FFFFEAB9"/>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8D670"/>
        </patternFill>
      </fill>
    </dxf>
    <dxf>
      <fill>
        <patternFill>
          <bgColor rgb="FFFFEAB9"/>
        </patternFill>
      </fill>
    </dxf>
    <dxf>
      <fill>
        <patternFill>
          <bgColor rgb="FFFFEAB9"/>
        </patternFill>
      </fill>
    </dxf>
    <dxf>
      <fill>
        <patternFill>
          <bgColor rgb="FFF8D670"/>
        </patternFill>
      </fill>
    </dxf>
  </dxfs>
  <tableStyles count="0" defaultTableStyle="TableStyleMedium2" defaultPivotStyle="PivotStyleLight16"/>
  <colors>
    <mruColors>
      <color rgb="FFF8D670"/>
      <color rgb="FF1F6EA7"/>
      <color rgb="FF009FE3"/>
      <color rgb="FFFFEAB9"/>
      <color rgb="FFC4C4C4"/>
      <color rgb="FFE9F6FF"/>
      <color rgb="FFCAE5FF"/>
      <color rgb="FFB9DCFE"/>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89D38-DFC1-D14A-92E5-DFB9310ADB83}">
  <sheetPr>
    <tabColor rgb="FFFFFF00"/>
  </sheetPr>
  <dimension ref="B3:D31"/>
  <sheetViews>
    <sheetView showGridLines="0" zoomScale="140" workbookViewId="0">
      <selection activeCell="B3" sqref="B3"/>
    </sheetView>
  </sheetViews>
  <sheetFormatPr defaultColWidth="10.8125" defaultRowHeight="15.4" x14ac:dyDescent="0.4"/>
  <cols>
    <col min="1" max="2" width="10.8125" style="1"/>
    <col min="3" max="3" width="26.3125" style="82" customWidth="1"/>
    <col min="4" max="4" width="54.3125" style="1" customWidth="1"/>
    <col min="5" max="16384" width="10.8125" style="1"/>
  </cols>
  <sheetData>
    <row r="3" spans="2:4" x14ac:dyDescent="0.4">
      <c r="B3" s="81" t="s">
        <v>351</v>
      </c>
      <c r="C3" s="1"/>
    </row>
    <row r="4" spans="2:4" x14ac:dyDescent="0.4">
      <c r="B4" s="82"/>
      <c r="C4" s="1"/>
    </row>
    <row r="5" spans="2:4" ht="68" customHeight="1" x14ac:dyDescent="0.4">
      <c r="B5" s="94" t="s">
        <v>352</v>
      </c>
      <c r="C5" s="94"/>
      <c r="D5" s="94"/>
    </row>
    <row r="6" spans="2:4" x14ac:dyDescent="0.4">
      <c r="B6" s="82"/>
      <c r="C6" s="1"/>
    </row>
    <row r="7" spans="2:4" ht="34.049999999999997" customHeight="1" x14ac:dyDescent="0.4">
      <c r="B7" s="94" t="s">
        <v>353</v>
      </c>
      <c r="C7" s="94"/>
      <c r="D7" s="94"/>
    </row>
    <row r="8" spans="2:4" ht="34.049999999999997" customHeight="1" x14ac:dyDescent="0.4">
      <c r="B8" s="2"/>
      <c r="C8" s="2"/>
      <c r="D8" s="2"/>
    </row>
    <row r="9" spans="2:4" ht="15.75" thickBot="1" x14ac:dyDescent="0.45"/>
    <row r="10" spans="2:4" ht="18" customHeight="1" thickBot="1" x14ac:dyDescent="0.45">
      <c r="C10" s="95" t="s">
        <v>354</v>
      </c>
      <c r="D10" s="96"/>
    </row>
    <row r="11" spans="2:4" x14ac:dyDescent="0.4">
      <c r="C11" s="83" t="s">
        <v>355</v>
      </c>
      <c r="D11" s="84" t="s">
        <v>356</v>
      </c>
    </row>
    <row r="12" spans="2:4" ht="92.25" x14ac:dyDescent="0.4">
      <c r="C12" s="85" t="s">
        <v>206</v>
      </c>
      <c r="D12" s="86" t="s">
        <v>357</v>
      </c>
    </row>
    <row r="13" spans="2:4" ht="30.75" x14ac:dyDescent="0.4">
      <c r="C13" s="83" t="s">
        <v>11</v>
      </c>
      <c r="D13" s="84" t="s">
        <v>358</v>
      </c>
    </row>
    <row r="14" spans="2:4" x14ac:dyDescent="0.4">
      <c r="C14" s="85" t="s">
        <v>54</v>
      </c>
      <c r="D14" s="86" t="s">
        <v>359</v>
      </c>
    </row>
    <row r="15" spans="2:4" ht="46.15" x14ac:dyDescent="0.4">
      <c r="C15" s="83" t="s">
        <v>26</v>
      </c>
      <c r="D15" s="84" t="s">
        <v>360</v>
      </c>
    </row>
    <row r="16" spans="2:4" x14ac:dyDescent="0.4">
      <c r="C16" s="83" t="s">
        <v>202</v>
      </c>
      <c r="D16" s="84" t="s">
        <v>361</v>
      </c>
    </row>
    <row r="17" spans="3:4" ht="169.15" x14ac:dyDescent="0.4">
      <c r="C17" s="85" t="s">
        <v>172</v>
      </c>
      <c r="D17" s="86" t="s">
        <v>362</v>
      </c>
    </row>
    <row r="18" spans="3:4" ht="30.75" x14ac:dyDescent="0.4">
      <c r="C18" s="83" t="s">
        <v>207</v>
      </c>
      <c r="D18" s="84" t="s">
        <v>363</v>
      </c>
    </row>
    <row r="19" spans="3:4" ht="30.75" x14ac:dyDescent="0.4">
      <c r="C19" s="85" t="s">
        <v>226</v>
      </c>
      <c r="D19" s="86" t="s">
        <v>364</v>
      </c>
    </row>
    <row r="20" spans="3:4" ht="123" x14ac:dyDescent="0.4">
      <c r="C20" s="83" t="s">
        <v>212</v>
      </c>
      <c r="D20" s="84" t="s">
        <v>365</v>
      </c>
    </row>
    <row r="21" spans="3:4" x14ac:dyDescent="0.4">
      <c r="C21" s="85" t="s">
        <v>31</v>
      </c>
      <c r="D21" s="86" t="s">
        <v>366</v>
      </c>
    </row>
    <row r="22" spans="3:4" ht="30.75" x14ac:dyDescent="0.4">
      <c r="C22" s="83" t="s">
        <v>32</v>
      </c>
      <c r="D22" s="84" t="s">
        <v>367</v>
      </c>
    </row>
    <row r="23" spans="3:4" x14ac:dyDescent="0.4">
      <c r="C23" s="85" t="s">
        <v>33</v>
      </c>
      <c r="D23" s="86" t="s">
        <v>368</v>
      </c>
    </row>
    <row r="24" spans="3:4" x14ac:dyDescent="0.4">
      <c r="C24" s="83" t="s">
        <v>34</v>
      </c>
      <c r="D24" s="84" t="s">
        <v>369</v>
      </c>
    </row>
    <row r="25" spans="3:4" x14ac:dyDescent="0.4">
      <c r="C25" s="85" t="s">
        <v>35</v>
      </c>
      <c r="D25" s="86" t="s">
        <v>370</v>
      </c>
    </row>
    <row r="26" spans="3:4" ht="61.5" x14ac:dyDescent="0.4">
      <c r="C26" s="83" t="s">
        <v>227</v>
      </c>
      <c r="D26" s="84" t="s">
        <v>371</v>
      </c>
    </row>
    <row r="27" spans="3:4" ht="46.15" x14ac:dyDescent="0.4">
      <c r="C27" s="85" t="s">
        <v>57</v>
      </c>
      <c r="D27" s="86" t="s">
        <v>372</v>
      </c>
    </row>
    <row r="28" spans="3:4" ht="30.75" x14ac:dyDescent="0.4">
      <c r="C28" s="83" t="s">
        <v>173</v>
      </c>
      <c r="D28" s="84" t="s">
        <v>373</v>
      </c>
    </row>
    <row r="29" spans="3:4" x14ac:dyDescent="0.4">
      <c r="C29" s="85" t="s">
        <v>345</v>
      </c>
      <c r="D29" s="86" t="s">
        <v>374</v>
      </c>
    </row>
    <row r="30" spans="3:4" ht="30.75" x14ac:dyDescent="0.4">
      <c r="C30" s="83" t="s">
        <v>346</v>
      </c>
      <c r="D30" s="84" t="s">
        <v>375</v>
      </c>
    </row>
    <row r="31" spans="3:4" ht="15.75" thickBot="1" x14ac:dyDescent="0.45">
      <c r="C31" s="87" t="s">
        <v>348</v>
      </c>
      <c r="D31" s="88" t="s">
        <v>376</v>
      </c>
    </row>
  </sheetData>
  <mergeCells count="3">
    <mergeCell ref="B5:D5"/>
    <mergeCell ref="B7:D7"/>
    <mergeCell ref="C10:D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553B3-B84E-EA4D-A22A-373731206BA0}">
  <sheetPr filterMode="1">
    <tabColor rgb="FF009FE3"/>
  </sheetPr>
  <dimension ref="B1:W52"/>
  <sheetViews>
    <sheetView showGridLines="0" workbookViewId="0">
      <pane xSplit="5" ySplit="2" topLeftCell="F5" activePane="bottomRight" state="frozen"/>
      <selection pane="topRight" activeCell="E1" sqref="E1"/>
      <selection pane="bottomLeft" activeCell="A3" sqref="A3"/>
      <selection pane="bottomRight" activeCell="E15" sqref="E15"/>
    </sheetView>
  </sheetViews>
  <sheetFormatPr defaultColWidth="10.8125" defaultRowHeight="15.4" x14ac:dyDescent="0.5"/>
  <cols>
    <col min="1" max="1" width="10.8125" style="49"/>
    <col min="2" max="2" width="0" style="48" hidden="1" customWidth="1"/>
    <col min="3" max="3" width="12.3125" style="49" customWidth="1"/>
    <col min="4" max="4" width="12.8125" style="49" customWidth="1"/>
    <col min="5" max="5" width="51.6875" style="49" customWidth="1"/>
    <col min="6" max="6" width="8.1875" style="49" customWidth="1"/>
    <col min="7" max="7" width="22" style="49" customWidth="1"/>
    <col min="8" max="11" width="13.1875" style="49" customWidth="1"/>
    <col min="12" max="16" width="16.3125" style="49" customWidth="1"/>
    <col min="17" max="17" width="29.3125" style="49" customWidth="1"/>
    <col min="18" max="18" width="16" style="49" customWidth="1"/>
    <col min="19" max="20" width="46.5" style="49" customWidth="1"/>
    <col min="21" max="21" width="21.1875" style="49" customWidth="1"/>
    <col min="22" max="22" width="46.5" style="49" customWidth="1"/>
    <col min="23" max="23" width="46" style="49" customWidth="1"/>
    <col min="24" max="16384" width="10.8125" style="49"/>
  </cols>
  <sheetData>
    <row r="1" spans="2:23" ht="15.75" thickBot="1" x14ac:dyDescent="0.55000000000000004"/>
    <row r="2" spans="2:23" ht="29.25" x14ac:dyDescent="0.5">
      <c r="B2" s="50" t="s">
        <v>53</v>
      </c>
      <c r="C2" s="89" t="s">
        <v>206</v>
      </c>
      <c r="D2" s="89" t="s">
        <v>11</v>
      </c>
      <c r="E2" s="89" t="s">
        <v>54</v>
      </c>
      <c r="F2" s="89" t="s">
        <v>26</v>
      </c>
      <c r="G2" s="89" t="s">
        <v>202</v>
      </c>
      <c r="H2" s="89" t="s">
        <v>172</v>
      </c>
      <c r="I2" s="89" t="s">
        <v>207</v>
      </c>
      <c r="J2" s="89" t="s">
        <v>226</v>
      </c>
      <c r="K2" s="89" t="s">
        <v>212</v>
      </c>
      <c r="L2" s="89" t="s">
        <v>31</v>
      </c>
      <c r="M2" s="89" t="s">
        <v>32</v>
      </c>
      <c r="N2" s="89" t="s">
        <v>33</v>
      </c>
      <c r="O2" s="89" t="s">
        <v>34</v>
      </c>
      <c r="P2" s="89" t="s">
        <v>35</v>
      </c>
      <c r="Q2" s="89" t="s">
        <v>227</v>
      </c>
      <c r="R2" s="89" t="s">
        <v>57</v>
      </c>
      <c r="S2" s="89" t="s">
        <v>173</v>
      </c>
      <c r="T2" s="89" t="s">
        <v>345</v>
      </c>
      <c r="U2" s="89" t="s">
        <v>346</v>
      </c>
      <c r="V2" s="89" t="s">
        <v>348</v>
      </c>
    </row>
    <row r="3" spans="2:23" ht="30.75" hidden="1" x14ac:dyDescent="0.5">
      <c r="B3" s="51" t="s">
        <v>58</v>
      </c>
      <c r="C3" s="55" t="s">
        <v>188</v>
      </c>
      <c r="D3" s="55" t="s">
        <v>59</v>
      </c>
      <c r="E3" s="55" t="s">
        <v>60</v>
      </c>
      <c r="F3" s="55" t="s">
        <v>27</v>
      </c>
      <c r="G3" s="55"/>
      <c r="H3" s="55"/>
      <c r="I3" s="55"/>
      <c r="J3" s="55"/>
      <c r="K3" s="55"/>
      <c r="L3" s="55"/>
      <c r="M3" s="55"/>
      <c r="N3" s="55"/>
      <c r="O3" s="55"/>
      <c r="P3" s="55"/>
      <c r="Q3" s="55" t="s">
        <v>61</v>
      </c>
      <c r="R3" s="55"/>
      <c r="S3" s="55" t="s">
        <v>62</v>
      </c>
      <c r="T3" s="90"/>
      <c r="U3" s="90"/>
      <c r="V3" s="90"/>
    </row>
    <row r="4" spans="2:23" ht="30.75" hidden="1" x14ac:dyDescent="0.5">
      <c r="B4" s="54" t="s">
        <v>63</v>
      </c>
      <c r="C4" s="55" t="s">
        <v>189</v>
      </c>
      <c r="D4" s="55" t="s">
        <v>59</v>
      </c>
      <c r="E4" s="55" t="s">
        <v>64</v>
      </c>
      <c r="F4" s="55" t="s">
        <v>27</v>
      </c>
      <c r="G4" s="55"/>
      <c r="H4" s="55"/>
      <c r="I4" s="55"/>
      <c r="J4" s="55"/>
      <c r="K4" s="55"/>
      <c r="L4" s="55"/>
      <c r="M4" s="55"/>
      <c r="N4" s="55"/>
      <c r="O4" s="55"/>
      <c r="P4" s="55"/>
      <c r="Q4" s="55" t="s">
        <v>61</v>
      </c>
      <c r="R4" s="55"/>
      <c r="S4" s="55" t="s">
        <v>62</v>
      </c>
      <c r="T4" s="90"/>
      <c r="U4" s="90"/>
      <c r="V4" s="90"/>
    </row>
    <row r="5" spans="2:23" ht="184.9" thickBot="1" x14ac:dyDescent="0.55000000000000004">
      <c r="B5" s="54" t="s">
        <v>65</v>
      </c>
      <c r="C5" s="55" t="s">
        <v>48</v>
      </c>
      <c r="D5" s="55" t="s">
        <v>59</v>
      </c>
      <c r="E5" s="55" t="s">
        <v>66</v>
      </c>
      <c r="F5" s="55" t="s">
        <v>27</v>
      </c>
      <c r="G5" s="55"/>
      <c r="H5" s="55" t="s">
        <v>250</v>
      </c>
      <c r="I5" s="55"/>
      <c r="J5" s="55"/>
      <c r="K5" s="55"/>
      <c r="L5" s="55" t="s">
        <v>67</v>
      </c>
      <c r="M5" s="55" t="s">
        <v>68</v>
      </c>
      <c r="N5" s="55" t="s">
        <v>69</v>
      </c>
      <c r="O5" s="55" t="s">
        <v>69</v>
      </c>
      <c r="P5" s="55" t="s">
        <v>70</v>
      </c>
      <c r="Q5" s="55" t="s">
        <v>61</v>
      </c>
      <c r="R5" s="55"/>
      <c r="S5" s="55" t="s">
        <v>71</v>
      </c>
      <c r="T5" s="90"/>
      <c r="U5" s="90"/>
      <c r="V5" s="90"/>
    </row>
    <row r="6" spans="2:23" ht="31.15" hidden="1" thickBot="1" x14ac:dyDescent="0.55000000000000004">
      <c r="B6" s="57" t="s">
        <v>72</v>
      </c>
      <c r="C6" s="55" t="s">
        <v>175</v>
      </c>
      <c r="D6" s="55" t="s">
        <v>59</v>
      </c>
      <c r="E6" s="55" t="s">
        <v>73</v>
      </c>
      <c r="F6" s="55" t="s">
        <v>27</v>
      </c>
      <c r="G6" s="55">
        <v>1</v>
      </c>
      <c r="H6" s="55" t="s">
        <v>9</v>
      </c>
      <c r="I6" s="55">
        <v>10000</v>
      </c>
      <c r="J6" s="55"/>
      <c r="K6" s="55"/>
      <c r="L6" s="55"/>
      <c r="M6" s="55"/>
      <c r="N6" s="55"/>
      <c r="O6" s="55"/>
      <c r="P6" s="55"/>
      <c r="Q6" s="55" t="s">
        <v>74</v>
      </c>
      <c r="R6" s="55" t="s">
        <v>75</v>
      </c>
      <c r="S6" s="55" t="s">
        <v>12</v>
      </c>
      <c r="T6" s="90"/>
      <c r="U6" s="90"/>
      <c r="V6" s="90"/>
    </row>
    <row r="7" spans="2:23" ht="30.75" x14ac:dyDescent="0.5">
      <c r="B7" s="51" t="s">
        <v>76</v>
      </c>
      <c r="C7" s="55" t="s">
        <v>49</v>
      </c>
      <c r="D7" s="55" t="s">
        <v>77</v>
      </c>
      <c r="E7" s="55" t="s">
        <v>78</v>
      </c>
      <c r="F7" s="65" t="s">
        <v>27</v>
      </c>
      <c r="G7" s="65">
        <v>0.9</v>
      </c>
      <c r="H7" s="55" t="s">
        <v>52</v>
      </c>
      <c r="I7" s="55"/>
      <c r="J7" s="55" t="s">
        <v>45</v>
      </c>
      <c r="K7" s="55" t="s">
        <v>55</v>
      </c>
      <c r="L7" s="55" t="s">
        <v>79</v>
      </c>
      <c r="M7" s="55" t="s">
        <v>80</v>
      </c>
      <c r="N7" s="55" t="s">
        <v>81</v>
      </c>
      <c r="O7" s="55" t="s">
        <v>82</v>
      </c>
      <c r="P7" s="55" t="s">
        <v>83</v>
      </c>
      <c r="Q7" s="55" t="s">
        <v>61</v>
      </c>
      <c r="R7" s="55"/>
      <c r="S7" s="55" t="s">
        <v>84</v>
      </c>
      <c r="T7" s="90"/>
      <c r="U7" s="90"/>
      <c r="V7" s="90"/>
    </row>
    <row r="8" spans="2:23" ht="76.900000000000006" hidden="1" x14ac:dyDescent="0.5">
      <c r="B8" s="54" t="s">
        <v>85</v>
      </c>
      <c r="C8" s="55"/>
      <c r="D8" s="55" t="s">
        <v>77</v>
      </c>
      <c r="E8" s="55" t="s">
        <v>86</v>
      </c>
      <c r="F8" s="55" t="s">
        <v>27</v>
      </c>
      <c r="G8" s="55"/>
      <c r="H8" s="55"/>
      <c r="I8" s="55"/>
      <c r="J8" s="55"/>
      <c r="K8" s="55"/>
      <c r="L8" s="55"/>
      <c r="M8" s="55"/>
      <c r="N8" s="55"/>
      <c r="O8" s="55"/>
      <c r="P8" s="55"/>
      <c r="Q8" s="55" t="s">
        <v>87</v>
      </c>
      <c r="R8" s="55"/>
      <c r="S8" s="55" t="s">
        <v>88</v>
      </c>
      <c r="T8" s="90"/>
      <c r="U8" s="90"/>
      <c r="V8" s="90"/>
    </row>
    <row r="9" spans="2:23" ht="76.900000000000006" hidden="1" x14ac:dyDescent="0.5">
      <c r="B9" s="54" t="s">
        <v>89</v>
      </c>
      <c r="C9" s="55"/>
      <c r="D9" s="55" t="s">
        <v>77</v>
      </c>
      <c r="E9" s="55" t="s">
        <v>90</v>
      </c>
      <c r="F9" s="55" t="s">
        <v>27</v>
      </c>
      <c r="G9" s="55"/>
      <c r="H9" s="55"/>
      <c r="I9" s="55"/>
      <c r="J9" s="55"/>
      <c r="K9" s="55"/>
      <c r="L9" s="55"/>
      <c r="M9" s="55"/>
      <c r="N9" s="55"/>
      <c r="O9" s="55"/>
      <c r="P9" s="55"/>
      <c r="Q9" s="55" t="s">
        <v>87</v>
      </c>
      <c r="R9" s="55"/>
      <c r="S9" s="55" t="s">
        <v>88</v>
      </c>
      <c r="T9" s="90"/>
      <c r="U9" s="90"/>
      <c r="V9" s="90"/>
    </row>
    <row r="10" spans="2:23" ht="46.05" customHeight="1" thickBot="1" x14ac:dyDescent="0.55000000000000004">
      <c r="B10" s="57" t="s">
        <v>91</v>
      </c>
      <c r="C10" s="55" t="s">
        <v>174</v>
      </c>
      <c r="D10" s="55" t="s">
        <v>77</v>
      </c>
      <c r="E10" s="55" t="s">
        <v>92</v>
      </c>
      <c r="F10" s="55" t="s">
        <v>27</v>
      </c>
      <c r="G10" s="55">
        <v>2</v>
      </c>
      <c r="H10" s="55" t="s">
        <v>9</v>
      </c>
      <c r="I10" s="55">
        <v>10000</v>
      </c>
      <c r="J10" s="55" t="s">
        <v>43</v>
      </c>
      <c r="K10" s="55" t="s">
        <v>225</v>
      </c>
      <c r="L10" s="55">
        <v>1</v>
      </c>
      <c r="M10" s="55">
        <v>1</v>
      </c>
      <c r="N10" s="55">
        <v>2</v>
      </c>
      <c r="O10" s="55">
        <v>4</v>
      </c>
      <c r="P10" s="55" t="s">
        <v>93</v>
      </c>
      <c r="Q10" s="55" t="s">
        <v>61</v>
      </c>
      <c r="R10" s="55"/>
      <c r="S10" s="55" t="s">
        <v>13</v>
      </c>
      <c r="T10" s="90"/>
      <c r="U10" s="90"/>
      <c r="V10" s="90"/>
    </row>
    <row r="11" spans="2:23" ht="77.25" hidden="1" thickBot="1" x14ac:dyDescent="0.55000000000000004">
      <c r="B11" s="60" t="s">
        <v>94</v>
      </c>
      <c r="C11" s="55"/>
      <c r="D11" s="55" t="s">
        <v>95</v>
      </c>
      <c r="E11" s="55" t="s">
        <v>96</v>
      </c>
      <c r="F11" s="55" t="s">
        <v>27</v>
      </c>
      <c r="G11" s="55"/>
      <c r="H11" s="55"/>
      <c r="I11" s="55"/>
      <c r="J11" s="55"/>
      <c r="K11" s="55"/>
      <c r="L11" s="55"/>
      <c r="M11" s="55"/>
      <c r="N11" s="55"/>
      <c r="O11" s="55"/>
      <c r="P11" s="55"/>
      <c r="Q11" s="55" t="s">
        <v>87</v>
      </c>
      <c r="R11" s="55"/>
      <c r="S11" s="55" t="s">
        <v>88</v>
      </c>
      <c r="T11" s="90"/>
      <c r="U11" s="90"/>
      <c r="V11" s="90"/>
      <c r="W11"/>
    </row>
    <row r="12" spans="2:23" ht="76.900000000000006" x14ac:dyDescent="0.5">
      <c r="B12" s="51" t="s">
        <v>97</v>
      </c>
      <c r="C12" s="55" t="s">
        <v>50</v>
      </c>
      <c r="D12" s="55" t="s">
        <v>98</v>
      </c>
      <c r="E12" s="55" t="s">
        <v>99</v>
      </c>
      <c r="F12" s="55" t="s">
        <v>27</v>
      </c>
      <c r="G12" s="55"/>
      <c r="H12" s="55"/>
      <c r="I12" s="55"/>
      <c r="J12" s="55"/>
      <c r="K12" s="55"/>
      <c r="L12" s="55"/>
      <c r="M12" s="55"/>
      <c r="N12" s="55"/>
      <c r="O12" s="55"/>
      <c r="P12" s="55"/>
      <c r="Q12" s="55" t="s">
        <v>61</v>
      </c>
      <c r="R12" s="55"/>
      <c r="S12" s="55" t="s">
        <v>100</v>
      </c>
      <c r="T12" s="90"/>
      <c r="U12" s="90"/>
      <c r="V12" s="90"/>
      <c r="W12"/>
    </row>
    <row r="13" spans="2:23" ht="76.900000000000006" x14ac:dyDescent="0.5">
      <c r="B13" s="54" t="s">
        <v>101</v>
      </c>
      <c r="C13" s="55" t="s">
        <v>51</v>
      </c>
      <c r="D13" s="55" t="s">
        <v>98</v>
      </c>
      <c r="E13" s="55" t="s">
        <v>102</v>
      </c>
      <c r="F13" s="55" t="s">
        <v>27</v>
      </c>
      <c r="G13" s="55"/>
      <c r="H13" s="55"/>
      <c r="I13" s="55"/>
      <c r="J13" s="55"/>
      <c r="K13" s="55"/>
      <c r="L13" s="55"/>
      <c r="M13" s="55"/>
      <c r="N13" s="55"/>
      <c r="O13" s="55"/>
      <c r="P13" s="55"/>
      <c r="Q13" s="55" t="s">
        <v>61</v>
      </c>
      <c r="R13" s="55"/>
      <c r="S13" s="55" t="s">
        <v>100</v>
      </c>
      <c r="T13" s="90"/>
      <c r="U13" s="90"/>
      <c r="V13" s="90"/>
      <c r="W13"/>
    </row>
    <row r="14" spans="2:23" ht="77.25" thickBot="1" x14ac:dyDescent="0.55000000000000004">
      <c r="B14" s="57" t="s">
        <v>103</v>
      </c>
      <c r="C14" s="55" t="s">
        <v>217</v>
      </c>
      <c r="D14" s="55" t="s">
        <v>98</v>
      </c>
      <c r="E14" s="55" t="s">
        <v>216</v>
      </c>
      <c r="F14" s="65" t="s">
        <v>27</v>
      </c>
      <c r="G14" s="65">
        <v>0.95</v>
      </c>
      <c r="H14" s="55" t="s">
        <v>52</v>
      </c>
      <c r="I14" s="55"/>
      <c r="J14" s="55" t="s">
        <v>42</v>
      </c>
      <c r="K14" s="55" t="s">
        <v>225</v>
      </c>
      <c r="L14" s="65">
        <v>0.95</v>
      </c>
      <c r="M14" s="65">
        <v>0.95</v>
      </c>
      <c r="N14" s="65">
        <v>0.9</v>
      </c>
      <c r="O14" s="65">
        <v>0.85</v>
      </c>
      <c r="P14" s="55" t="s">
        <v>222</v>
      </c>
      <c r="Q14" s="55" t="s">
        <v>61</v>
      </c>
      <c r="R14" s="55"/>
      <c r="S14" s="55" t="s">
        <v>84</v>
      </c>
      <c r="T14" s="90"/>
      <c r="U14" s="90"/>
      <c r="V14" s="90"/>
      <c r="W14"/>
    </row>
    <row r="15" spans="2:23" ht="77.25" thickBot="1" x14ac:dyDescent="0.55000000000000004">
      <c r="B15" s="57" t="s">
        <v>103</v>
      </c>
      <c r="C15" s="55" t="s">
        <v>218</v>
      </c>
      <c r="D15" s="55" t="s">
        <v>98</v>
      </c>
      <c r="E15" s="55" t="s">
        <v>219</v>
      </c>
      <c r="F15" s="65" t="s">
        <v>27</v>
      </c>
      <c r="G15" s="65">
        <v>0.9</v>
      </c>
      <c r="H15" s="55" t="s">
        <v>52</v>
      </c>
      <c r="I15" s="55"/>
      <c r="J15" s="55" t="s">
        <v>42</v>
      </c>
      <c r="K15" s="55" t="s">
        <v>225</v>
      </c>
      <c r="L15" s="65">
        <v>0.9</v>
      </c>
      <c r="M15" s="65">
        <v>0.9</v>
      </c>
      <c r="N15" s="65">
        <v>0.85</v>
      </c>
      <c r="O15" s="65">
        <v>0.8</v>
      </c>
      <c r="P15" s="55" t="s">
        <v>223</v>
      </c>
      <c r="Q15" s="55" t="s">
        <v>61</v>
      </c>
      <c r="R15" s="55"/>
      <c r="S15" s="55" t="s">
        <v>84</v>
      </c>
      <c r="T15" s="90"/>
      <c r="U15" s="90"/>
      <c r="V15" s="90"/>
      <c r="W15"/>
    </row>
    <row r="16" spans="2:23" ht="77.25" thickBot="1" x14ac:dyDescent="0.55000000000000004">
      <c r="B16" s="57" t="s">
        <v>103</v>
      </c>
      <c r="C16" s="55" t="s">
        <v>220</v>
      </c>
      <c r="D16" s="55" t="s">
        <v>98</v>
      </c>
      <c r="E16" s="55" t="s">
        <v>221</v>
      </c>
      <c r="F16" s="65" t="s">
        <v>27</v>
      </c>
      <c r="G16" s="65">
        <v>0.9</v>
      </c>
      <c r="H16" s="55" t="s">
        <v>52</v>
      </c>
      <c r="I16" s="55"/>
      <c r="J16" s="55" t="s">
        <v>42</v>
      </c>
      <c r="K16" s="55" t="s">
        <v>225</v>
      </c>
      <c r="L16" s="65">
        <v>0.9</v>
      </c>
      <c r="M16" s="65">
        <v>0.9</v>
      </c>
      <c r="N16" s="65">
        <v>0.85</v>
      </c>
      <c r="O16" s="65">
        <v>0.8</v>
      </c>
      <c r="P16" s="55" t="s">
        <v>223</v>
      </c>
      <c r="Q16" s="55" t="s">
        <v>61</v>
      </c>
      <c r="R16" s="55"/>
      <c r="S16" s="55" t="s">
        <v>84</v>
      </c>
      <c r="T16" s="90"/>
      <c r="U16" s="90"/>
      <c r="V16" s="90"/>
      <c r="W16"/>
    </row>
    <row r="17" spans="2:23" ht="76.900000000000006" hidden="1" x14ac:dyDescent="0.5">
      <c r="B17" s="51" t="s">
        <v>105</v>
      </c>
      <c r="C17" s="55"/>
      <c r="D17" s="55" t="s">
        <v>106</v>
      </c>
      <c r="E17" s="55" t="s">
        <v>107</v>
      </c>
      <c r="F17" s="55" t="s">
        <v>27</v>
      </c>
      <c r="G17" s="55">
        <v>1</v>
      </c>
      <c r="H17" s="55"/>
      <c r="I17" s="55"/>
      <c r="J17" s="55"/>
      <c r="K17" s="55"/>
      <c r="L17" s="55"/>
      <c r="M17" s="55"/>
      <c r="N17" s="55"/>
      <c r="O17" s="55"/>
      <c r="P17" s="55"/>
      <c r="Q17" s="55" t="s">
        <v>87</v>
      </c>
      <c r="R17" s="55"/>
      <c r="S17" s="55" t="s">
        <v>88</v>
      </c>
      <c r="T17" s="90"/>
      <c r="U17" s="90"/>
      <c r="V17" s="90"/>
      <c r="W17"/>
    </row>
    <row r="18" spans="2:23" ht="61.5" hidden="1" x14ac:dyDescent="0.5">
      <c r="B18" s="54" t="s">
        <v>108</v>
      </c>
      <c r="C18" s="55" t="s">
        <v>176</v>
      </c>
      <c r="D18" s="55" t="s">
        <v>106</v>
      </c>
      <c r="E18" s="55" t="s">
        <v>109</v>
      </c>
      <c r="F18" s="65" t="s">
        <v>27</v>
      </c>
      <c r="G18" s="65">
        <v>0.9</v>
      </c>
      <c r="H18" s="55" t="s">
        <v>52</v>
      </c>
      <c r="I18" s="55"/>
      <c r="J18" s="55" t="s">
        <v>43</v>
      </c>
      <c r="K18" s="55" t="s">
        <v>213</v>
      </c>
      <c r="L18" s="65" t="s">
        <v>224</v>
      </c>
      <c r="M18" s="65" t="s">
        <v>224</v>
      </c>
      <c r="N18" s="65">
        <v>0.9</v>
      </c>
      <c r="O18" s="65">
        <v>0.8</v>
      </c>
      <c r="P18" s="65">
        <v>0.7</v>
      </c>
      <c r="Q18" s="55" t="s">
        <v>74</v>
      </c>
      <c r="R18" s="55" t="s">
        <v>75</v>
      </c>
      <c r="S18" s="55" t="s">
        <v>237</v>
      </c>
      <c r="T18" s="90"/>
      <c r="U18" s="90"/>
      <c r="V18" s="90"/>
      <c r="W18"/>
    </row>
    <row r="19" spans="2:23" ht="61.9" hidden="1" thickBot="1" x14ac:dyDescent="0.55000000000000004">
      <c r="B19" s="57" t="s">
        <v>110</v>
      </c>
      <c r="C19" s="55" t="s">
        <v>177</v>
      </c>
      <c r="D19" s="55" t="s">
        <v>106</v>
      </c>
      <c r="E19" s="55" t="s">
        <v>111</v>
      </c>
      <c r="F19" s="55" t="s">
        <v>27</v>
      </c>
      <c r="G19" s="55"/>
      <c r="H19" s="55" t="s">
        <v>52</v>
      </c>
      <c r="I19" s="55"/>
      <c r="J19" s="55"/>
      <c r="K19" s="55"/>
      <c r="L19" s="55"/>
      <c r="M19" s="55"/>
      <c r="N19" s="55"/>
      <c r="O19" s="55"/>
      <c r="P19" s="55"/>
      <c r="Q19" s="55" t="s">
        <v>74</v>
      </c>
      <c r="R19" s="55" t="s">
        <v>75</v>
      </c>
      <c r="S19" s="55" t="s">
        <v>238</v>
      </c>
      <c r="T19" s="90"/>
      <c r="U19" s="90"/>
      <c r="V19" s="90"/>
      <c r="W19"/>
    </row>
    <row r="20" spans="2:23" ht="61.9" hidden="1" thickBot="1" x14ac:dyDescent="0.55000000000000004">
      <c r="B20" s="60" t="s">
        <v>112</v>
      </c>
      <c r="C20" s="55" t="s">
        <v>178</v>
      </c>
      <c r="D20" s="55" t="s">
        <v>113</v>
      </c>
      <c r="E20" s="55" t="s">
        <v>114</v>
      </c>
      <c r="F20" s="55" t="s">
        <v>27</v>
      </c>
      <c r="G20" s="55"/>
      <c r="H20" s="55" t="s">
        <v>52</v>
      </c>
      <c r="I20" s="55"/>
      <c r="J20" s="55"/>
      <c r="K20" s="55"/>
      <c r="L20" s="55"/>
      <c r="M20" s="55"/>
      <c r="N20" s="55"/>
      <c r="O20" s="55"/>
      <c r="P20" s="55"/>
      <c r="Q20" s="55" t="s">
        <v>74</v>
      </c>
      <c r="R20" s="55" t="s">
        <v>75</v>
      </c>
      <c r="S20" s="55" t="s">
        <v>236</v>
      </c>
      <c r="T20" s="90"/>
      <c r="U20" s="90"/>
      <c r="V20" s="90"/>
      <c r="W20"/>
    </row>
    <row r="21" spans="2:23" ht="46.15" hidden="1" x14ac:dyDescent="0.5">
      <c r="B21" s="51" t="s">
        <v>115</v>
      </c>
      <c r="C21" s="55" t="s">
        <v>179</v>
      </c>
      <c r="D21" s="55" t="s">
        <v>116</v>
      </c>
      <c r="E21" s="55" t="s">
        <v>117</v>
      </c>
      <c r="F21" s="55" t="s">
        <v>27</v>
      </c>
      <c r="G21" s="55"/>
      <c r="H21" s="55"/>
      <c r="I21" s="55"/>
      <c r="J21" s="55"/>
      <c r="K21" s="55"/>
      <c r="L21" s="55"/>
      <c r="M21" s="55"/>
      <c r="N21" s="55"/>
      <c r="O21" s="55"/>
      <c r="P21" s="55"/>
      <c r="Q21" s="55" t="s">
        <v>74</v>
      </c>
      <c r="R21" s="55" t="s">
        <v>75</v>
      </c>
      <c r="S21" s="55" t="s">
        <v>239</v>
      </c>
      <c r="T21" s="90"/>
      <c r="U21" s="90"/>
      <c r="V21" s="90"/>
      <c r="W21"/>
    </row>
    <row r="22" spans="2:23" ht="46.15" hidden="1" x14ac:dyDescent="0.5">
      <c r="B22" s="54" t="s">
        <v>118</v>
      </c>
      <c r="C22" s="55" t="s">
        <v>180</v>
      </c>
      <c r="D22" s="55" t="s">
        <v>116</v>
      </c>
      <c r="E22" s="55" t="s">
        <v>231</v>
      </c>
      <c r="F22" s="55" t="s">
        <v>27</v>
      </c>
      <c r="G22" s="55">
        <v>18</v>
      </c>
      <c r="H22" s="55" t="s">
        <v>9</v>
      </c>
      <c r="I22" s="55">
        <v>10000</v>
      </c>
      <c r="J22" s="55"/>
      <c r="K22" s="55"/>
      <c r="L22" s="55"/>
      <c r="M22" s="55"/>
      <c r="N22" s="55"/>
      <c r="O22" s="55"/>
      <c r="P22" s="55"/>
      <c r="Q22" s="55" t="s">
        <v>74</v>
      </c>
      <c r="R22" s="55" t="s">
        <v>75</v>
      </c>
      <c r="S22" s="55" t="s">
        <v>84</v>
      </c>
      <c r="T22" s="90"/>
      <c r="U22" s="90"/>
      <c r="V22" s="90"/>
      <c r="W22"/>
    </row>
    <row r="23" spans="2:23" ht="46.15" hidden="1" x14ac:dyDescent="0.5">
      <c r="B23" s="54"/>
      <c r="C23" s="55" t="s">
        <v>256</v>
      </c>
      <c r="D23" s="55" t="s">
        <v>116</v>
      </c>
      <c r="E23" s="55" t="s">
        <v>119</v>
      </c>
      <c r="F23" s="55" t="s">
        <v>27</v>
      </c>
      <c r="G23" s="55"/>
      <c r="H23" s="55" t="s">
        <v>9</v>
      </c>
      <c r="I23" s="55">
        <v>10000</v>
      </c>
      <c r="J23" s="55" t="s">
        <v>44</v>
      </c>
      <c r="K23" s="55" t="s">
        <v>213</v>
      </c>
      <c r="L23" s="55" t="s">
        <v>120</v>
      </c>
      <c r="M23" s="55" t="s">
        <v>120</v>
      </c>
      <c r="N23" s="55">
        <v>17</v>
      </c>
      <c r="O23" s="55">
        <v>11</v>
      </c>
      <c r="P23" s="55">
        <v>5</v>
      </c>
      <c r="Q23" s="55" t="s">
        <v>74</v>
      </c>
      <c r="R23" s="55" t="s">
        <v>75</v>
      </c>
      <c r="S23" s="55" t="s">
        <v>84</v>
      </c>
      <c r="T23" s="90"/>
      <c r="U23" s="90"/>
      <c r="V23" s="90"/>
      <c r="W23"/>
    </row>
    <row r="24" spans="2:23" ht="46.15" hidden="1" x14ac:dyDescent="0.5">
      <c r="B24" s="54" t="s">
        <v>121</v>
      </c>
      <c r="C24" s="55" t="s">
        <v>181</v>
      </c>
      <c r="D24" s="55" t="s">
        <v>116</v>
      </c>
      <c r="E24" s="55" t="s">
        <v>122</v>
      </c>
      <c r="F24" s="55" t="s">
        <v>27</v>
      </c>
      <c r="G24" s="55">
        <v>1</v>
      </c>
      <c r="H24" s="55" t="s">
        <v>9</v>
      </c>
      <c r="I24" s="55">
        <v>500</v>
      </c>
      <c r="J24" s="55"/>
      <c r="K24" s="55"/>
      <c r="L24" s="55"/>
      <c r="M24" s="55"/>
      <c r="N24" s="55"/>
      <c r="O24" s="55"/>
      <c r="P24" s="55"/>
      <c r="Q24" s="55" t="s">
        <v>74</v>
      </c>
      <c r="R24" s="55" t="s">
        <v>75</v>
      </c>
      <c r="S24" s="55" t="s">
        <v>71</v>
      </c>
      <c r="T24" s="90"/>
      <c r="U24" s="90"/>
      <c r="V24" s="90"/>
      <c r="W24"/>
    </row>
    <row r="25" spans="2:23" ht="46.15" hidden="1" x14ac:dyDescent="0.5">
      <c r="B25" s="54" t="s">
        <v>123</v>
      </c>
      <c r="C25" s="55" t="s">
        <v>182</v>
      </c>
      <c r="D25" s="55" t="s">
        <v>116</v>
      </c>
      <c r="E25" s="55" t="s">
        <v>124</v>
      </c>
      <c r="F25" s="65" t="s">
        <v>27</v>
      </c>
      <c r="G25" s="65">
        <v>0.8</v>
      </c>
      <c r="H25" s="55" t="s">
        <v>52</v>
      </c>
      <c r="I25" s="55"/>
      <c r="J25" s="55" t="s">
        <v>42</v>
      </c>
      <c r="K25" s="55"/>
      <c r="L25" s="55"/>
      <c r="M25" s="55"/>
      <c r="N25" s="55"/>
      <c r="O25" s="55"/>
      <c r="P25" s="55"/>
      <c r="Q25" s="55" t="s">
        <v>74</v>
      </c>
      <c r="R25" s="55" t="s">
        <v>125</v>
      </c>
      <c r="S25" s="55" t="s">
        <v>84</v>
      </c>
      <c r="T25" s="90"/>
      <c r="U25" s="90"/>
      <c r="V25" s="90"/>
      <c r="W25"/>
    </row>
    <row r="26" spans="2:23" ht="61.9" hidden="1" thickBot="1" x14ac:dyDescent="0.55000000000000004">
      <c r="B26" s="57" t="s">
        <v>126</v>
      </c>
      <c r="C26" s="55" t="s">
        <v>5</v>
      </c>
      <c r="D26" s="55" t="s">
        <v>116</v>
      </c>
      <c r="E26" s="55" t="s">
        <v>127</v>
      </c>
      <c r="F26" s="65" t="s">
        <v>27</v>
      </c>
      <c r="G26" s="65">
        <v>0.8</v>
      </c>
      <c r="H26" s="55" t="s">
        <v>52</v>
      </c>
      <c r="I26" s="55"/>
      <c r="J26" s="55" t="s">
        <v>42</v>
      </c>
      <c r="K26" s="55"/>
      <c r="L26" s="55"/>
      <c r="M26" s="55"/>
      <c r="N26" s="55"/>
      <c r="O26" s="55"/>
      <c r="P26" s="55"/>
      <c r="Q26" s="55" t="s">
        <v>74</v>
      </c>
      <c r="R26" s="55" t="s">
        <v>75</v>
      </c>
      <c r="S26" s="55" t="s">
        <v>240</v>
      </c>
      <c r="T26" s="90"/>
      <c r="U26" s="90"/>
      <c r="V26" s="90"/>
      <c r="W26"/>
    </row>
    <row r="27" spans="2:23" ht="30.75" hidden="1" x14ac:dyDescent="0.5">
      <c r="B27" s="51" t="s">
        <v>128</v>
      </c>
      <c r="C27" s="55" t="s">
        <v>183</v>
      </c>
      <c r="D27" s="55" t="s">
        <v>129</v>
      </c>
      <c r="E27" s="55" t="s">
        <v>130</v>
      </c>
      <c r="F27" s="55" t="s">
        <v>27</v>
      </c>
      <c r="G27" s="55">
        <v>1</v>
      </c>
      <c r="H27" s="55" t="s">
        <v>52</v>
      </c>
      <c r="I27" s="55"/>
      <c r="J27" s="55"/>
      <c r="K27" s="55"/>
      <c r="L27" s="55"/>
      <c r="M27" s="55"/>
      <c r="N27" s="55"/>
      <c r="O27" s="55"/>
      <c r="P27" s="55"/>
      <c r="Q27" s="55" t="s">
        <v>74</v>
      </c>
      <c r="R27" s="55" t="s">
        <v>75</v>
      </c>
      <c r="S27" s="55" t="s">
        <v>241</v>
      </c>
      <c r="T27" s="90"/>
      <c r="U27" s="90"/>
      <c r="V27" s="90"/>
      <c r="W27"/>
    </row>
    <row r="28" spans="2:23" ht="46.5" hidden="1" thickBot="1" x14ac:dyDescent="0.55000000000000004">
      <c r="B28" s="57" t="s">
        <v>131</v>
      </c>
      <c r="C28" s="55" t="s">
        <v>6</v>
      </c>
      <c r="D28" s="55" t="s">
        <v>129</v>
      </c>
      <c r="E28" s="55" t="s">
        <v>132</v>
      </c>
      <c r="F28" s="55" t="s">
        <v>27</v>
      </c>
      <c r="G28" s="55">
        <v>1</v>
      </c>
      <c r="H28" s="55" t="s">
        <v>52</v>
      </c>
      <c r="I28" s="55"/>
      <c r="J28" s="55"/>
      <c r="K28" s="55"/>
      <c r="L28" s="55"/>
      <c r="M28" s="55"/>
      <c r="N28" s="55"/>
      <c r="O28" s="55"/>
      <c r="P28" s="55"/>
      <c r="Q28" s="55" t="s">
        <v>74</v>
      </c>
      <c r="R28" s="55" t="s">
        <v>75</v>
      </c>
      <c r="S28" s="55" t="s">
        <v>242</v>
      </c>
      <c r="T28" s="90"/>
      <c r="U28" s="90"/>
      <c r="V28" s="90"/>
      <c r="W28"/>
    </row>
    <row r="29" spans="2:23" ht="15.75" hidden="1" x14ac:dyDescent="0.5">
      <c r="B29" s="51" t="s">
        <v>133</v>
      </c>
      <c r="C29" s="55" t="s">
        <v>190</v>
      </c>
      <c r="D29" s="55" t="s">
        <v>134</v>
      </c>
      <c r="E29" s="55" t="s">
        <v>233</v>
      </c>
      <c r="F29" s="55" t="s">
        <v>27</v>
      </c>
      <c r="G29" s="55">
        <v>4</v>
      </c>
      <c r="H29" s="55" t="s">
        <v>9</v>
      </c>
      <c r="I29" s="55">
        <v>500000</v>
      </c>
      <c r="J29" s="55"/>
      <c r="K29" s="55"/>
      <c r="L29" s="55"/>
      <c r="M29" s="55"/>
      <c r="N29" s="55"/>
      <c r="O29" s="55"/>
      <c r="P29" s="55"/>
      <c r="Q29" s="55" t="s">
        <v>74</v>
      </c>
      <c r="R29" s="55" t="s">
        <v>75</v>
      </c>
      <c r="S29" s="55"/>
      <c r="T29" s="90"/>
      <c r="U29" s="90"/>
      <c r="V29" s="90"/>
      <c r="W29"/>
    </row>
    <row r="30" spans="2:23" ht="30.75" hidden="1" x14ac:dyDescent="0.5">
      <c r="B30" s="51" t="s">
        <v>133</v>
      </c>
      <c r="C30" s="55" t="s">
        <v>257</v>
      </c>
      <c r="D30" s="55" t="s">
        <v>134</v>
      </c>
      <c r="E30" s="55" t="s">
        <v>135</v>
      </c>
      <c r="F30" s="55" t="s">
        <v>27</v>
      </c>
      <c r="G30" s="55">
        <v>4</v>
      </c>
      <c r="H30" s="55" t="s">
        <v>9</v>
      </c>
      <c r="I30" s="55">
        <v>500000</v>
      </c>
      <c r="J30" s="55" t="s">
        <v>44</v>
      </c>
      <c r="K30" s="55" t="s">
        <v>213</v>
      </c>
      <c r="L30" s="55" t="s">
        <v>136</v>
      </c>
      <c r="M30" s="55" t="s">
        <v>136</v>
      </c>
      <c r="N30" s="55">
        <v>3</v>
      </c>
      <c r="O30" s="55">
        <v>2</v>
      </c>
      <c r="P30" s="55">
        <v>1</v>
      </c>
      <c r="Q30" s="55" t="s">
        <v>74</v>
      </c>
      <c r="R30" s="55" t="s">
        <v>75</v>
      </c>
      <c r="S30" s="55"/>
      <c r="T30" s="90"/>
      <c r="U30" s="90"/>
      <c r="V30" s="90"/>
      <c r="W30"/>
    </row>
    <row r="31" spans="2:23" ht="46.15" hidden="1" x14ac:dyDescent="0.5">
      <c r="B31" s="54" t="s">
        <v>137</v>
      </c>
      <c r="C31" s="55" t="s">
        <v>191</v>
      </c>
      <c r="D31" s="55" t="s">
        <v>134</v>
      </c>
      <c r="E31" s="55" t="s">
        <v>138</v>
      </c>
      <c r="F31" s="55" t="s">
        <v>27</v>
      </c>
      <c r="G31" s="55">
        <v>1</v>
      </c>
      <c r="H31" s="55" t="s">
        <v>9</v>
      </c>
      <c r="I31" s="55">
        <v>500000</v>
      </c>
      <c r="J31" s="55"/>
      <c r="K31" s="55"/>
      <c r="L31" s="55"/>
      <c r="M31" s="55"/>
      <c r="N31" s="55"/>
      <c r="O31" s="55"/>
      <c r="P31" s="55"/>
      <c r="Q31" s="55" t="s">
        <v>74</v>
      </c>
      <c r="R31" s="55" t="s">
        <v>75</v>
      </c>
      <c r="S31" s="55"/>
      <c r="T31" s="90"/>
      <c r="U31" s="90"/>
      <c r="V31" s="90"/>
      <c r="W31"/>
    </row>
    <row r="32" spans="2:23" ht="30.75" hidden="1" x14ac:dyDescent="0.5">
      <c r="B32" s="54" t="s">
        <v>139</v>
      </c>
      <c r="C32" s="55" t="s">
        <v>192</v>
      </c>
      <c r="D32" s="55" t="s">
        <v>134</v>
      </c>
      <c r="E32" s="55" t="s">
        <v>235</v>
      </c>
      <c r="F32" s="55" t="s">
        <v>27</v>
      </c>
      <c r="G32" s="55">
        <v>23</v>
      </c>
      <c r="H32" s="55" t="s">
        <v>9</v>
      </c>
      <c r="I32" s="55">
        <v>10000</v>
      </c>
      <c r="J32" s="55" t="s">
        <v>42</v>
      </c>
      <c r="K32" s="55"/>
      <c r="L32" s="55"/>
      <c r="M32" s="55"/>
      <c r="N32" s="55"/>
      <c r="O32" s="55"/>
      <c r="P32" s="55"/>
      <c r="Q32" s="55" t="s">
        <v>74</v>
      </c>
      <c r="R32" s="55" t="s">
        <v>75</v>
      </c>
      <c r="S32" s="55"/>
      <c r="T32" s="90"/>
      <c r="U32" s="90"/>
      <c r="V32" s="90"/>
      <c r="W32"/>
    </row>
    <row r="33" spans="2:23" ht="46.15" hidden="1" x14ac:dyDescent="0.5">
      <c r="B33" s="54" t="s">
        <v>139</v>
      </c>
      <c r="C33" s="55" t="s">
        <v>258</v>
      </c>
      <c r="D33" s="55" t="s">
        <v>134</v>
      </c>
      <c r="E33" s="55" t="s">
        <v>140</v>
      </c>
      <c r="F33" s="55" t="s">
        <v>27</v>
      </c>
      <c r="G33" s="55">
        <v>23</v>
      </c>
      <c r="H33" s="55" t="s">
        <v>9</v>
      </c>
      <c r="I33" s="55">
        <v>10000</v>
      </c>
      <c r="J33" s="55" t="s">
        <v>42</v>
      </c>
      <c r="K33" s="55" t="s">
        <v>225</v>
      </c>
      <c r="L33" s="55">
        <v>23</v>
      </c>
      <c r="M33" s="55">
        <v>23</v>
      </c>
      <c r="N33" s="55">
        <v>19</v>
      </c>
      <c r="O33" s="55">
        <v>15</v>
      </c>
      <c r="P33" s="55" t="s">
        <v>214</v>
      </c>
      <c r="Q33" s="55" t="s">
        <v>74</v>
      </c>
      <c r="R33" s="55" t="s">
        <v>75</v>
      </c>
      <c r="S33" s="55"/>
      <c r="T33" s="90"/>
      <c r="U33" s="90"/>
      <c r="V33" s="90"/>
      <c r="W33"/>
    </row>
    <row r="34" spans="2:23" ht="30.75" hidden="1" x14ac:dyDescent="0.5">
      <c r="B34" s="54" t="s">
        <v>141</v>
      </c>
      <c r="C34" s="55"/>
      <c r="D34" s="55" t="s">
        <v>134</v>
      </c>
      <c r="E34" s="55" t="s">
        <v>142</v>
      </c>
      <c r="F34" s="65" t="s">
        <v>27</v>
      </c>
      <c r="G34" s="65">
        <v>0.8</v>
      </c>
      <c r="H34" s="55" t="s">
        <v>52</v>
      </c>
      <c r="I34" s="55"/>
      <c r="J34" s="55"/>
      <c r="K34" s="55"/>
      <c r="L34" s="55"/>
      <c r="M34" s="55"/>
      <c r="N34" s="55"/>
      <c r="O34" s="55"/>
      <c r="P34" s="55"/>
      <c r="Q34" s="55" t="s">
        <v>87</v>
      </c>
      <c r="R34" s="55"/>
      <c r="S34" s="55"/>
      <c r="T34" s="90"/>
      <c r="U34" s="90"/>
      <c r="V34" s="90"/>
      <c r="W34"/>
    </row>
    <row r="35" spans="2:23" ht="31.15" hidden="1" thickBot="1" x14ac:dyDescent="0.55000000000000004">
      <c r="B35" s="57" t="s">
        <v>143</v>
      </c>
      <c r="C35" s="55"/>
      <c r="D35" s="55" t="s">
        <v>134</v>
      </c>
      <c r="E35" s="55" t="s">
        <v>144</v>
      </c>
      <c r="F35" s="55" t="s">
        <v>27</v>
      </c>
      <c r="G35" s="55" t="s">
        <v>145</v>
      </c>
      <c r="H35" s="55" t="s">
        <v>52</v>
      </c>
      <c r="I35" s="55"/>
      <c r="J35" s="55"/>
      <c r="K35" s="55"/>
      <c r="L35" s="55"/>
      <c r="M35" s="55"/>
      <c r="N35" s="55"/>
      <c r="O35" s="55"/>
      <c r="P35" s="55"/>
      <c r="Q35" s="55" t="s">
        <v>146</v>
      </c>
      <c r="R35" s="55"/>
      <c r="S35" s="55"/>
      <c r="T35" s="90"/>
      <c r="U35" s="90"/>
      <c r="V35" s="90"/>
      <c r="W35"/>
    </row>
    <row r="36" spans="2:23" ht="76.900000000000006" hidden="1" x14ac:dyDescent="0.5">
      <c r="B36" s="51" t="s">
        <v>147</v>
      </c>
      <c r="C36" s="55" t="s">
        <v>193</v>
      </c>
      <c r="D36" s="55" t="s">
        <v>148</v>
      </c>
      <c r="E36" s="55" t="s">
        <v>149</v>
      </c>
      <c r="F36" s="55" t="s">
        <v>27</v>
      </c>
      <c r="G36" s="55"/>
      <c r="H36" s="55" t="s">
        <v>52</v>
      </c>
      <c r="I36" s="55"/>
      <c r="J36" s="55"/>
      <c r="K36" s="55"/>
      <c r="L36" s="55"/>
      <c r="M36" s="55"/>
      <c r="N36" s="55"/>
      <c r="O36" s="55"/>
      <c r="P36" s="55"/>
      <c r="Q36" s="55" t="s">
        <v>74</v>
      </c>
      <c r="R36" s="55" t="s">
        <v>75</v>
      </c>
      <c r="S36" s="55" t="s">
        <v>243</v>
      </c>
      <c r="T36" s="90"/>
      <c r="U36" s="90"/>
      <c r="V36" s="90"/>
      <c r="W36"/>
    </row>
    <row r="37" spans="2:23" ht="123.4" hidden="1" thickBot="1" x14ac:dyDescent="0.55000000000000004">
      <c r="B37" s="57" t="s">
        <v>150</v>
      </c>
      <c r="C37" s="55" t="s">
        <v>194</v>
      </c>
      <c r="D37" s="55" t="s">
        <v>148</v>
      </c>
      <c r="E37" s="55" t="s">
        <v>151</v>
      </c>
      <c r="F37" s="55" t="s">
        <v>27</v>
      </c>
      <c r="G37" s="55"/>
      <c r="H37" s="55" t="s">
        <v>53</v>
      </c>
      <c r="I37" s="55"/>
      <c r="J37" s="55"/>
      <c r="K37" s="55"/>
      <c r="L37" s="55"/>
      <c r="M37" s="55"/>
      <c r="N37" s="55"/>
      <c r="O37" s="55"/>
      <c r="P37" s="55"/>
      <c r="Q37" s="55" t="s">
        <v>152</v>
      </c>
      <c r="R37" s="55" t="s">
        <v>75</v>
      </c>
      <c r="S37" s="55" t="s">
        <v>153</v>
      </c>
      <c r="T37" s="90"/>
      <c r="U37" s="90"/>
      <c r="V37" s="90"/>
      <c r="W37"/>
    </row>
    <row r="38" spans="2:23" ht="46.15" hidden="1" x14ac:dyDescent="0.5">
      <c r="B38" s="51" t="s">
        <v>154</v>
      </c>
      <c r="C38" s="55" t="s">
        <v>195</v>
      </c>
      <c r="D38" s="55" t="s">
        <v>155</v>
      </c>
      <c r="E38" s="55" t="s">
        <v>156</v>
      </c>
      <c r="F38" s="55" t="s">
        <v>27</v>
      </c>
      <c r="G38" s="55"/>
      <c r="H38" s="55" t="s">
        <v>9</v>
      </c>
      <c r="I38" s="55"/>
      <c r="J38" s="55"/>
      <c r="K38" s="55"/>
      <c r="L38" s="55"/>
      <c r="M38" s="55"/>
      <c r="N38" s="55"/>
      <c r="O38" s="55"/>
      <c r="P38" s="55"/>
      <c r="Q38" s="55" t="s">
        <v>74</v>
      </c>
      <c r="R38" s="55" t="s">
        <v>75</v>
      </c>
      <c r="S38" s="55" t="s">
        <v>157</v>
      </c>
      <c r="T38" s="90"/>
      <c r="U38" s="90"/>
      <c r="V38" s="90"/>
      <c r="W38"/>
    </row>
    <row r="39" spans="2:23" ht="61.5" hidden="1" x14ac:dyDescent="0.5">
      <c r="B39" s="54" t="s">
        <v>158</v>
      </c>
      <c r="C39" s="55"/>
      <c r="D39" s="55" t="s">
        <v>155</v>
      </c>
      <c r="E39" s="55" t="s">
        <v>159</v>
      </c>
      <c r="F39" s="55" t="s">
        <v>27</v>
      </c>
      <c r="G39" s="55"/>
      <c r="H39" s="55"/>
      <c r="I39" s="55"/>
      <c r="J39" s="55"/>
      <c r="K39" s="55"/>
      <c r="L39" s="55"/>
      <c r="M39" s="55"/>
      <c r="N39" s="55"/>
      <c r="O39" s="55"/>
      <c r="P39" s="55"/>
      <c r="Q39" s="55" t="s">
        <v>87</v>
      </c>
      <c r="R39" s="55"/>
      <c r="S39" s="55"/>
      <c r="T39" s="90"/>
      <c r="U39" s="90"/>
      <c r="V39" s="90"/>
      <c r="W39"/>
    </row>
    <row r="40" spans="2:23" ht="46.5" hidden="1" thickBot="1" x14ac:dyDescent="0.55000000000000004">
      <c r="B40" s="57" t="s">
        <v>160</v>
      </c>
      <c r="C40" s="55"/>
      <c r="D40" s="55" t="s">
        <v>155</v>
      </c>
      <c r="E40" s="55" t="s">
        <v>161</v>
      </c>
      <c r="F40" s="55" t="s">
        <v>27</v>
      </c>
      <c r="G40" s="55"/>
      <c r="H40" s="55"/>
      <c r="I40" s="55"/>
      <c r="J40" s="55"/>
      <c r="K40" s="55"/>
      <c r="L40" s="55"/>
      <c r="M40" s="55"/>
      <c r="N40" s="55"/>
      <c r="O40" s="55"/>
      <c r="P40" s="55"/>
      <c r="Q40" s="55" t="s">
        <v>87</v>
      </c>
      <c r="R40" s="55"/>
      <c r="S40" s="55"/>
      <c r="T40" s="90"/>
      <c r="U40" s="90"/>
      <c r="V40" s="90"/>
      <c r="W40"/>
    </row>
    <row r="41" spans="2:23" ht="16.149999999999999" hidden="1" thickBot="1" x14ac:dyDescent="0.55000000000000004">
      <c r="B41" s="60" t="s">
        <v>162</v>
      </c>
      <c r="C41" s="55" t="s">
        <v>7</v>
      </c>
      <c r="D41" s="55" t="s">
        <v>163</v>
      </c>
      <c r="E41" s="55" t="s">
        <v>164</v>
      </c>
      <c r="F41" s="55" t="s">
        <v>27</v>
      </c>
      <c r="G41" s="55"/>
      <c r="H41" s="55" t="s">
        <v>53</v>
      </c>
      <c r="I41" s="55"/>
      <c r="J41" s="55"/>
      <c r="K41" s="55"/>
      <c r="L41" s="55"/>
      <c r="M41" s="55"/>
      <c r="N41" s="55"/>
      <c r="O41" s="55"/>
      <c r="P41" s="55"/>
      <c r="Q41" s="55" t="s">
        <v>165</v>
      </c>
      <c r="R41" s="55"/>
      <c r="S41" s="55"/>
      <c r="T41" s="90"/>
      <c r="U41" s="90"/>
      <c r="V41" s="90"/>
      <c r="W41"/>
    </row>
    <row r="42" spans="2:23" ht="46.15" hidden="1" x14ac:dyDescent="0.5">
      <c r="B42" s="62" t="s">
        <v>166</v>
      </c>
      <c r="C42" s="55" t="s">
        <v>196</v>
      </c>
      <c r="D42" s="55" t="s">
        <v>116</v>
      </c>
      <c r="E42" s="55" t="s">
        <v>167</v>
      </c>
      <c r="F42" s="65" t="s">
        <v>27</v>
      </c>
      <c r="G42" s="65">
        <v>0.8</v>
      </c>
      <c r="H42" s="55" t="s">
        <v>52</v>
      </c>
      <c r="I42" s="55"/>
      <c r="J42" s="55" t="s">
        <v>42</v>
      </c>
      <c r="K42" s="55"/>
      <c r="L42" s="55"/>
      <c r="M42" s="55"/>
      <c r="N42" s="55"/>
      <c r="O42" s="55"/>
      <c r="P42" s="55"/>
      <c r="Q42" s="55" t="s">
        <v>74</v>
      </c>
      <c r="R42" s="55"/>
      <c r="S42" s="91" t="s">
        <v>244</v>
      </c>
      <c r="T42" s="90"/>
      <c r="U42" s="90"/>
      <c r="V42" s="90"/>
      <c r="W42"/>
    </row>
    <row r="43" spans="2:23" ht="76.900000000000006" hidden="1" x14ac:dyDescent="0.5">
      <c r="B43" s="54" t="s">
        <v>166</v>
      </c>
      <c r="C43" s="55" t="s">
        <v>197</v>
      </c>
      <c r="D43" s="55" t="s">
        <v>116</v>
      </c>
      <c r="E43" s="55" t="s">
        <v>168</v>
      </c>
      <c r="F43" s="55" t="s">
        <v>27</v>
      </c>
      <c r="G43" s="55"/>
      <c r="H43" s="55" t="s">
        <v>169</v>
      </c>
      <c r="I43" s="55"/>
      <c r="J43" s="55"/>
      <c r="K43" s="55"/>
      <c r="L43" s="55"/>
      <c r="M43" s="55"/>
      <c r="N43" s="55"/>
      <c r="O43" s="55"/>
      <c r="P43" s="55"/>
      <c r="Q43" s="55" t="s">
        <v>74</v>
      </c>
      <c r="R43" s="55" t="s">
        <v>125</v>
      </c>
      <c r="S43" s="55" t="s">
        <v>208</v>
      </c>
      <c r="T43" s="90"/>
      <c r="U43" s="90"/>
      <c r="V43" s="90"/>
      <c r="W43"/>
    </row>
    <row r="44" spans="2:23" ht="77.25" hidden="1" thickBot="1" x14ac:dyDescent="0.55000000000000004">
      <c r="B44" s="57" t="s">
        <v>166</v>
      </c>
      <c r="C44" s="55" t="s">
        <v>198</v>
      </c>
      <c r="D44" s="55" t="s">
        <v>116</v>
      </c>
      <c r="E44" s="55" t="s">
        <v>170</v>
      </c>
      <c r="F44" s="55" t="s">
        <v>27</v>
      </c>
      <c r="G44" s="55"/>
      <c r="H44" s="55" t="s">
        <v>169</v>
      </c>
      <c r="I44" s="55"/>
      <c r="J44" s="55"/>
      <c r="K44" s="55"/>
      <c r="L44" s="55"/>
      <c r="M44" s="55"/>
      <c r="N44" s="55"/>
      <c r="O44" s="55"/>
      <c r="P44" s="55"/>
      <c r="Q44" s="55" t="s">
        <v>74</v>
      </c>
      <c r="R44" s="55" t="s">
        <v>171</v>
      </c>
      <c r="S44" s="55" t="s">
        <v>209</v>
      </c>
      <c r="T44" s="90"/>
      <c r="U44" s="90"/>
      <c r="V44" s="90"/>
      <c r="W44"/>
    </row>
    <row r="45" spans="2:23" ht="92.25" hidden="1" x14ac:dyDescent="0.5">
      <c r="B45" s="62" t="s">
        <v>184</v>
      </c>
      <c r="C45" s="55" t="s">
        <v>8</v>
      </c>
      <c r="D45" s="55" t="s">
        <v>185</v>
      </c>
      <c r="E45" s="55" t="s">
        <v>187</v>
      </c>
      <c r="F45" s="55" t="s">
        <v>27</v>
      </c>
      <c r="G45" s="55"/>
      <c r="H45" s="55"/>
      <c r="I45" s="55"/>
      <c r="J45" s="55" t="s">
        <v>44</v>
      </c>
      <c r="K45" s="55" t="s">
        <v>213</v>
      </c>
      <c r="L45" s="65">
        <v>0.8</v>
      </c>
      <c r="M45" s="65">
        <v>0.8</v>
      </c>
      <c r="N45" s="65">
        <v>0.6</v>
      </c>
      <c r="O45" s="65">
        <v>0.4</v>
      </c>
      <c r="P45" s="65">
        <v>0.2</v>
      </c>
      <c r="Q45" s="55" t="s">
        <v>165</v>
      </c>
      <c r="R45" s="55"/>
      <c r="S45" s="55" t="s">
        <v>251</v>
      </c>
      <c r="T45" s="90"/>
      <c r="U45" s="90"/>
      <c r="V45" s="90" t="s">
        <v>347</v>
      </c>
      <c r="W45"/>
    </row>
    <row r="46" spans="2:23" ht="30.75" hidden="1" x14ac:dyDescent="0.5">
      <c r="B46" s="54" t="s">
        <v>184</v>
      </c>
      <c r="C46" s="55" t="s">
        <v>200</v>
      </c>
      <c r="D46" s="55" t="s">
        <v>186</v>
      </c>
      <c r="E46" s="55" t="s">
        <v>228</v>
      </c>
      <c r="F46" s="55" t="s">
        <v>27</v>
      </c>
      <c r="G46" s="55"/>
      <c r="H46" s="55" t="s">
        <v>53</v>
      </c>
      <c r="I46" s="55"/>
      <c r="J46" s="55" t="s">
        <v>215</v>
      </c>
      <c r="K46" s="55"/>
      <c r="L46" s="55"/>
      <c r="M46" s="55"/>
      <c r="N46" s="55"/>
      <c r="O46" s="55"/>
      <c r="P46" s="55"/>
      <c r="Q46" s="55" t="s">
        <v>165</v>
      </c>
      <c r="R46" s="55"/>
      <c r="S46" s="55" t="s">
        <v>12</v>
      </c>
      <c r="T46" s="90"/>
      <c r="U46" s="90"/>
      <c r="V46" s="90"/>
      <c r="W46"/>
    </row>
    <row r="47" spans="2:23" ht="30.75" hidden="1" x14ac:dyDescent="0.5">
      <c r="B47" s="54" t="s">
        <v>184</v>
      </c>
      <c r="C47" s="55" t="s">
        <v>201</v>
      </c>
      <c r="D47" s="55" t="s">
        <v>186</v>
      </c>
      <c r="E47" s="55" t="s">
        <v>229</v>
      </c>
      <c r="F47" s="55" t="s">
        <v>273</v>
      </c>
      <c r="G47" s="55"/>
      <c r="H47" s="55"/>
      <c r="I47" s="55"/>
      <c r="J47" s="55" t="s">
        <v>215</v>
      </c>
      <c r="K47" s="55"/>
      <c r="L47" s="55">
        <v>1</v>
      </c>
      <c r="M47" s="55">
        <v>2</v>
      </c>
      <c r="N47" s="55">
        <v>3</v>
      </c>
      <c r="O47" s="55">
        <v>4</v>
      </c>
      <c r="P47" s="55">
        <v>5</v>
      </c>
      <c r="Q47" s="55" t="s">
        <v>165</v>
      </c>
      <c r="R47" s="55"/>
      <c r="S47" s="55" t="s">
        <v>13</v>
      </c>
      <c r="T47" s="90"/>
      <c r="U47" s="90"/>
      <c r="V47" s="90"/>
      <c r="W47"/>
    </row>
    <row r="48" spans="2:23" ht="15.75" hidden="1" x14ac:dyDescent="0.5">
      <c r="B48" s="66"/>
      <c r="C48" s="55" t="s">
        <v>248</v>
      </c>
      <c r="D48" s="55" t="s">
        <v>155</v>
      </c>
      <c r="E48" s="55" t="s">
        <v>249</v>
      </c>
      <c r="F48" s="55" t="s">
        <v>27</v>
      </c>
      <c r="G48" s="55"/>
      <c r="H48" s="55" t="s">
        <v>53</v>
      </c>
      <c r="I48" s="55"/>
      <c r="J48" s="55"/>
      <c r="K48" s="55"/>
      <c r="L48" s="55"/>
      <c r="M48" s="55"/>
      <c r="N48" s="55"/>
      <c r="O48" s="55"/>
      <c r="P48" s="55"/>
      <c r="Q48" s="55"/>
      <c r="R48" s="55"/>
      <c r="S48" s="55"/>
      <c r="T48" s="90"/>
      <c r="U48" s="90"/>
      <c r="V48" s="90"/>
      <c r="W48"/>
    </row>
    <row r="49" spans="2:23" ht="16.149999999999999" hidden="1" thickBot="1" x14ac:dyDescent="0.55000000000000004">
      <c r="B49" s="57" t="s">
        <v>184</v>
      </c>
      <c r="C49" s="55" t="s">
        <v>247</v>
      </c>
      <c r="D49" s="55" t="s">
        <v>155</v>
      </c>
      <c r="E49" s="55" t="s">
        <v>211</v>
      </c>
      <c r="F49" s="65" t="s">
        <v>27</v>
      </c>
      <c r="G49" s="65">
        <v>0.15</v>
      </c>
      <c r="H49" s="55"/>
      <c r="I49" s="55"/>
      <c r="J49" s="55" t="s">
        <v>43</v>
      </c>
      <c r="K49" s="55" t="s">
        <v>56</v>
      </c>
      <c r="L49" s="65">
        <v>0.05</v>
      </c>
      <c r="M49" s="65">
        <v>0.1</v>
      </c>
      <c r="N49" s="65">
        <v>0.15</v>
      </c>
      <c r="O49" s="65">
        <v>0.3</v>
      </c>
      <c r="P49" s="55" t="s">
        <v>210</v>
      </c>
      <c r="Q49" s="55" t="s">
        <v>165</v>
      </c>
      <c r="R49" s="55"/>
      <c r="S49" s="55" t="s">
        <v>84</v>
      </c>
      <c r="T49" s="90"/>
      <c r="U49" s="90"/>
      <c r="V49" s="90"/>
      <c r="W49"/>
    </row>
    <row r="50" spans="2:23" ht="76.900000000000006" x14ac:dyDescent="0.5">
      <c r="B50" s="54"/>
      <c r="C50" s="55" t="s">
        <v>380</v>
      </c>
      <c r="D50" s="55" t="s">
        <v>98</v>
      </c>
      <c r="E50" s="55" t="s">
        <v>383</v>
      </c>
      <c r="F50" s="55" t="s">
        <v>27</v>
      </c>
      <c r="G50" s="55"/>
      <c r="H50" s="55"/>
      <c r="I50" s="55"/>
      <c r="J50" s="55" t="s">
        <v>43</v>
      </c>
      <c r="K50" s="55" t="s">
        <v>55</v>
      </c>
      <c r="L50" s="55" t="s">
        <v>386</v>
      </c>
      <c r="M50" s="65">
        <v>0.8</v>
      </c>
      <c r="N50" s="65">
        <v>0.7</v>
      </c>
      <c r="O50" s="65">
        <v>0.5</v>
      </c>
      <c r="P50" s="65">
        <v>0.3</v>
      </c>
      <c r="Q50" s="55" t="s">
        <v>61</v>
      </c>
      <c r="R50" s="55"/>
      <c r="S50" s="55" t="s">
        <v>13</v>
      </c>
      <c r="T50" s="90"/>
      <c r="U50" s="90"/>
      <c r="V50" s="90" t="s">
        <v>387</v>
      </c>
      <c r="W50"/>
    </row>
    <row r="51" spans="2:23" ht="76.900000000000006" x14ac:dyDescent="0.5">
      <c r="B51" s="66"/>
      <c r="C51" s="55" t="s">
        <v>381</v>
      </c>
      <c r="D51" s="55" t="s">
        <v>98</v>
      </c>
      <c r="E51" s="55" t="s">
        <v>384</v>
      </c>
      <c r="F51" s="55" t="s">
        <v>27</v>
      </c>
      <c r="G51" s="55"/>
      <c r="H51" s="55"/>
      <c r="I51" s="55"/>
      <c r="J51" s="55" t="s">
        <v>42</v>
      </c>
      <c r="K51" s="55" t="s">
        <v>56</v>
      </c>
      <c r="L51" s="55"/>
      <c r="M51" s="55"/>
      <c r="N51" s="55"/>
      <c r="O51" s="55"/>
      <c r="P51" s="55"/>
      <c r="Q51" s="55" t="s">
        <v>61</v>
      </c>
      <c r="R51" s="55"/>
      <c r="S51" s="55" t="s">
        <v>388</v>
      </c>
      <c r="T51" s="90"/>
      <c r="U51" s="90"/>
      <c r="V51" s="90"/>
      <c r="W51"/>
    </row>
    <row r="52" spans="2:23" ht="77.25" thickBot="1" x14ac:dyDescent="0.55000000000000004">
      <c r="B52" s="57"/>
      <c r="C52" s="55" t="s">
        <v>382</v>
      </c>
      <c r="D52" s="55" t="s">
        <v>98</v>
      </c>
      <c r="E52" s="55" t="s">
        <v>385</v>
      </c>
      <c r="F52" s="65" t="s">
        <v>27</v>
      </c>
      <c r="G52" s="65"/>
      <c r="H52" s="55"/>
      <c r="I52" s="55"/>
      <c r="J52" s="55"/>
      <c r="K52" s="55"/>
      <c r="L52" s="65"/>
      <c r="M52" s="65"/>
      <c r="N52" s="65"/>
      <c r="O52" s="65"/>
      <c r="P52" s="55"/>
      <c r="Q52" s="55" t="s">
        <v>61</v>
      </c>
      <c r="R52" s="55"/>
      <c r="S52" s="55" t="s">
        <v>388</v>
      </c>
      <c r="T52" s="90"/>
      <c r="U52" s="90"/>
      <c r="V52" s="90"/>
      <c r="W52"/>
    </row>
  </sheetData>
  <autoFilter ref="B2:S52" xr:uid="{655D29AB-E805-0F4E-9687-84DDF1527EA8}">
    <filterColumn colId="1">
      <filters>
        <filter val="HS_01"/>
        <filter val="HS_02"/>
        <filter val="HS_03"/>
        <filter val="HS_04"/>
        <filter val="HS_05"/>
        <filter val="HS_06a"/>
        <filter val="HS_06b"/>
        <filter val="HS_06c"/>
        <filter val="HS_07"/>
        <filter val="HS_08"/>
        <filter val="HS_09"/>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CA0B-4656-CD4D-88E8-53C085137FAD}">
  <sheetPr codeName="Sheet3">
    <tabColor rgb="FFC00000"/>
  </sheetPr>
  <dimension ref="A1:M262"/>
  <sheetViews>
    <sheetView showGridLines="0" zoomScale="169" zoomScaleNormal="169" workbookViewId="0">
      <selection activeCell="E11" sqref="E11"/>
    </sheetView>
  </sheetViews>
  <sheetFormatPr defaultColWidth="10.8125" defaultRowHeight="15.4" x14ac:dyDescent="0.4"/>
  <cols>
    <col min="1" max="1" width="15" style="1" customWidth="1"/>
    <col min="2" max="2" width="28.1875" style="1" customWidth="1"/>
    <col min="3" max="3" width="14.5" style="1" bestFit="1" customWidth="1"/>
    <col min="4" max="5" width="14.5" style="1" customWidth="1"/>
    <col min="6" max="6" width="12.8125" style="1" bestFit="1" customWidth="1"/>
    <col min="7" max="7" width="10.8125" style="1"/>
    <col min="8" max="8" width="12.8125" style="1" bestFit="1" customWidth="1"/>
    <col min="9" max="12" width="10.8125" style="1"/>
    <col min="13" max="13" width="12.8125" style="1" bestFit="1" customWidth="1"/>
    <col min="14" max="16384" width="10.8125" style="1"/>
  </cols>
  <sheetData>
    <row r="1" spans="1:13" x14ac:dyDescent="0.4">
      <c r="B1" s="1" t="s">
        <v>2</v>
      </c>
    </row>
    <row r="4" spans="1:13" x14ac:dyDescent="0.4">
      <c r="A4" s="8" t="s">
        <v>21</v>
      </c>
      <c r="B4" s="8" t="s">
        <v>4</v>
      </c>
      <c r="C4" s="8" t="s">
        <v>1</v>
      </c>
      <c r="D4" s="8"/>
      <c r="E4" s="8"/>
      <c r="F4" s="8"/>
    </row>
    <row r="5" spans="1:13" x14ac:dyDescent="0.4">
      <c r="A5" s="15" t="s">
        <v>280</v>
      </c>
      <c r="B5" s="15" t="s">
        <v>281</v>
      </c>
      <c r="C5" s="6">
        <v>2533424</v>
      </c>
      <c r="D5" s="6"/>
      <c r="E5" s="6"/>
      <c r="F5" s="6"/>
    </row>
    <row r="6" spans="1:13" x14ac:dyDescent="0.4">
      <c r="A6" s="15" t="s">
        <v>280</v>
      </c>
      <c r="B6" s="15" t="s">
        <v>282</v>
      </c>
      <c r="C6" s="6">
        <v>20287</v>
      </c>
      <c r="D6" s="6"/>
      <c r="E6" s="6"/>
      <c r="F6" s="6"/>
      <c r="H6" s="19"/>
    </row>
    <row r="7" spans="1:13" x14ac:dyDescent="0.4">
      <c r="A7" s="15" t="s">
        <v>280</v>
      </c>
      <c r="B7" s="15" t="s">
        <v>283</v>
      </c>
      <c r="C7" s="6">
        <v>2735</v>
      </c>
      <c r="D7" s="6"/>
      <c r="E7" s="6"/>
      <c r="F7" s="6"/>
    </row>
    <row r="8" spans="1:13" x14ac:dyDescent="0.4">
      <c r="A8" s="15" t="s">
        <v>284</v>
      </c>
      <c r="B8" s="15" t="s">
        <v>285</v>
      </c>
      <c r="C8" s="6">
        <v>4698</v>
      </c>
      <c r="D8" s="6"/>
      <c r="E8" s="6"/>
      <c r="F8" s="6"/>
    </row>
    <row r="9" spans="1:13" x14ac:dyDescent="0.4">
      <c r="A9" s="15" t="s">
        <v>284</v>
      </c>
      <c r="B9" s="15" t="s">
        <v>286</v>
      </c>
      <c r="C9" s="6">
        <v>31283</v>
      </c>
      <c r="D9" s="6"/>
      <c r="E9" s="6"/>
      <c r="F9" s="6"/>
      <c r="K9" s="6"/>
    </row>
    <row r="10" spans="1:13" x14ac:dyDescent="0.4">
      <c r="A10" s="15" t="s">
        <v>287</v>
      </c>
      <c r="B10" s="15" t="s">
        <v>288</v>
      </c>
      <c r="C10" s="6">
        <v>27071</v>
      </c>
      <c r="D10" s="6"/>
      <c r="E10" s="6"/>
      <c r="F10" s="6"/>
    </row>
    <row r="11" spans="1:13" x14ac:dyDescent="0.4">
      <c r="A11" s="15" t="s">
        <v>289</v>
      </c>
      <c r="B11" s="15" t="s">
        <v>290</v>
      </c>
      <c r="C11" s="6">
        <v>44199</v>
      </c>
      <c r="D11" s="6"/>
      <c r="E11" s="6"/>
      <c r="F11" s="6"/>
      <c r="H11" s="46"/>
      <c r="M11" s="19"/>
    </row>
    <row r="12" spans="1:13" x14ac:dyDescent="0.4">
      <c r="A12" s="15" t="s">
        <v>289</v>
      </c>
      <c r="B12" s="15" t="s">
        <v>280</v>
      </c>
      <c r="C12" s="6">
        <v>5841</v>
      </c>
      <c r="D12" s="6"/>
      <c r="E12" s="6"/>
      <c r="F12" s="6"/>
    </row>
    <row r="13" spans="1:13" x14ac:dyDescent="0.4">
      <c r="A13" s="15" t="s">
        <v>289</v>
      </c>
      <c r="B13" s="15" t="s">
        <v>281</v>
      </c>
      <c r="C13" s="6">
        <v>11536</v>
      </c>
      <c r="D13" s="6"/>
      <c r="E13" s="6"/>
      <c r="F13" s="6"/>
    </row>
    <row r="14" spans="1:13" x14ac:dyDescent="0.4">
      <c r="A14" s="15" t="s">
        <v>289</v>
      </c>
      <c r="B14" s="15" t="s">
        <v>282</v>
      </c>
      <c r="C14" s="6">
        <v>19104</v>
      </c>
      <c r="D14" s="6"/>
      <c r="E14" s="6"/>
      <c r="F14" s="6"/>
    </row>
    <row r="15" spans="1:13" x14ac:dyDescent="0.4">
      <c r="A15" s="15" t="s">
        <v>289</v>
      </c>
      <c r="B15" s="15" t="s">
        <v>291</v>
      </c>
      <c r="C15" s="6">
        <v>27002</v>
      </c>
      <c r="D15" s="6"/>
      <c r="E15" s="6"/>
      <c r="F15" s="6"/>
    </row>
    <row r="16" spans="1:13" x14ac:dyDescent="0.4">
      <c r="A16" s="15" t="s">
        <v>289</v>
      </c>
      <c r="B16" s="15" t="s">
        <v>283</v>
      </c>
      <c r="C16" s="6">
        <v>7169</v>
      </c>
      <c r="D16" s="6"/>
      <c r="E16" s="6"/>
      <c r="F16" s="6"/>
    </row>
    <row r="17" spans="1:6" x14ac:dyDescent="0.4">
      <c r="A17" s="15" t="s">
        <v>289</v>
      </c>
      <c r="B17" s="15" t="s">
        <v>292</v>
      </c>
      <c r="C17" s="6">
        <v>127744</v>
      </c>
      <c r="D17" s="6"/>
      <c r="E17" s="6"/>
      <c r="F17" s="6"/>
    </row>
    <row r="18" spans="1:6" x14ac:dyDescent="0.4">
      <c r="A18" s="15" t="s">
        <v>289</v>
      </c>
      <c r="B18" s="15" t="s">
        <v>293</v>
      </c>
      <c r="C18" s="6">
        <v>30510</v>
      </c>
      <c r="D18" s="6"/>
      <c r="E18" s="6"/>
      <c r="F18" s="6"/>
    </row>
    <row r="19" spans="1:6" x14ac:dyDescent="0.4">
      <c r="A19" s="15" t="s">
        <v>294</v>
      </c>
      <c r="B19" s="15" t="s">
        <v>295</v>
      </c>
      <c r="C19" s="6">
        <v>7545</v>
      </c>
      <c r="D19" s="6"/>
      <c r="E19" s="6"/>
      <c r="F19" s="6"/>
    </row>
    <row r="20" spans="1:6" x14ac:dyDescent="0.4">
      <c r="A20" s="15" t="s">
        <v>294</v>
      </c>
      <c r="B20" s="15" t="s">
        <v>296</v>
      </c>
      <c r="C20" s="6">
        <v>5074</v>
      </c>
      <c r="D20" s="6"/>
      <c r="E20" s="6"/>
      <c r="F20" s="6"/>
    </row>
    <row r="21" spans="1:6" x14ac:dyDescent="0.4">
      <c r="A21" s="15" t="s">
        <v>297</v>
      </c>
      <c r="B21" s="15" t="s">
        <v>298</v>
      </c>
      <c r="C21" s="6">
        <v>54347</v>
      </c>
      <c r="D21" s="6"/>
      <c r="E21" s="6"/>
      <c r="F21" s="6"/>
    </row>
    <row r="22" spans="1:6" x14ac:dyDescent="0.4">
      <c r="A22" s="15" t="s">
        <v>297</v>
      </c>
      <c r="B22" s="15" t="s">
        <v>299</v>
      </c>
      <c r="C22" s="6">
        <v>6116</v>
      </c>
      <c r="D22" s="6"/>
      <c r="E22" s="6"/>
      <c r="F22" s="6"/>
    </row>
    <row r="23" spans="1:6" x14ac:dyDescent="0.4">
      <c r="A23" s="15" t="s">
        <v>297</v>
      </c>
      <c r="B23" s="15" t="s">
        <v>300</v>
      </c>
      <c r="C23" s="6">
        <v>552154</v>
      </c>
      <c r="D23" s="6"/>
      <c r="E23" s="6"/>
      <c r="F23" s="6"/>
    </row>
    <row r="24" spans="1:6" x14ac:dyDescent="0.4">
      <c r="A24" s="15" t="s">
        <v>297</v>
      </c>
      <c r="B24" s="15" t="s">
        <v>301</v>
      </c>
      <c r="C24" s="6">
        <v>10284</v>
      </c>
      <c r="D24" s="6"/>
      <c r="E24" s="6"/>
      <c r="F24" s="6"/>
    </row>
    <row r="25" spans="1:6" x14ac:dyDescent="0.4">
      <c r="A25" s="15" t="s">
        <v>297</v>
      </c>
      <c r="B25" s="15" t="s">
        <v>302</v>
      </c>
      <c r="C25" s="6">
        <v>15896</v>
      </c>
      <c r="D25" s="6"/>
      <c r="E25" s="6"/>
      <c r="F25" s="6"/>
    </row>
    <row r="26" spans="1:6" x14ac:dyDescent="0.4">
      <c r="A26" s="15" t="s">
        <v>297</v>
      </c>
      <c r="B26" s="15" t="s">
        <v>303</v>
      </c>
      <c r="C26" s="6">
        <v>26313</v>
      </c>
      <c r="D26" s="6"/>
      <c r="E26" s="6"/>
      <c r="F26" s="6"/>
    </row>
    <row r="27" spans="1:6" x14ac:dyDescent="0.4">
      <c r="A27" s="15" t="s">
        <v>297</v>
      </c>
      <c r="B27" s="15" t="s">
        <v>304</v>
      </c>
      <c r="C27" s="6">
        <v>8120</v>
      </c>
      <c r="D27" s="6"/>
      <c r="E27" s="6"/>
      <c r="F27" s="6"/>
    </row>
    <row r="28" spans="1:6" x14ac:dyDescent="0.4">
      <c r="A28" s="15" t="s">
        <v>297</v>
      </c>
      <c r="B28" s="15" t="s">
        <v>305</v>
      </c>
      <c r="C28" s="6">
        <v>9634</v>
      </c>
      <c r="D28" s="6"/>
      <c r="E28" s="6"/>
      <c r="F28" s="6"/>
    </row>
    <row r="29" spans="1:6" x14ac:dyDescent="0.4">
      <c r="A29" s="15" t="s">
        <v>297</v>
      </c>
      <c r="B29" s="15" t="s">
        <v>306</v>
      </c>
      <c r="C29" s="6">
        <v>30356</v>
      </c>
      <c r="D29" s="6"/>
      <c r="E29" s="6"/>
      <c r="F29" s="6"/>
    </row>
    <row r="30" spans="1:6" x14ac:dyDescent="0.4">
      <c r="A30" s="15" t="s">
        <v>297</v>
      </c>
      <c r="B30" s="15" t="s">
        <v>307</v>
      </c>
      <c r="C30" s="6">
        <v>8536</v>
      </c>
      <c r="D30" s="6"/>
      <c r="E30" s="6"/>
      <c r="F30" s="6"/>
    </row>
    <row r="31" spans="1:6" x14ac:dyDescent="0.4">
      <c r="A31" s="15" t="s">
        <v>297</v>
      </c>
      <c r="B31" s="15" t="s">
        <v>308</v>
      </c>
      <c r="C31" s="6">
        <v>83423</v>
      </c>
      <c r="D31" s="6"/>
      <c r="E31" s="6"/>
      <c r="F31" s="6"/>
    </row>
    <row r="32" spans="1:6" x14ac:dyDescent="0.4">
      <c r="A32" s="15" t="s">
        <v>297</v>
      </c>
      <c r="B32" s="15" t="s">
        <v>309</v>
      </c>
      <c r="C32" s="6">
        <v>9243</v>
      </c>
      <c r="D32" s="6"/>
      <c r="E32" s="6"/>
      <c r="F32" s="6"/>
    </row>
    <row r="33" spans="1:6" x14ac:dyDescent="0.4">
      <c r="A33" s="15" t="s">
        <v>310</v>
      </c>
      <c r="B33" s="15" t="s">
        <v>311</v>
      </c>
      <c r="C33" s="6">
        <v>15552</v>
      </c>
      <c r="D33" s="6"/>
      <c r="E33" s="6"/>
      <c r="F33" s="6"/>
    </row>
    <row r="34" spans="1:6" x14ac:dyDescent="0.4">
      <c r="A34" s="15" t="s">
        <v>310</v>
      </c>
      <c r="B34" s="15" t="s">
        <v>312</v>
      </c>
      <c r="C34" s="6">
        <v>4532</v>
      </c>
      <c r="D34" s="6"/>
      <c r="E34" s="6"/>
      <c r="F34" s="6"/>
    </row>
    <row r="35" spans="1:6" x14ac:dyDescent="0.4">
      <c r="A35" s="15" t="s">
        <v>310</v>
      </c>
      <c r="B35" s="15" t="s">
        <v>313</v>
      </c>
      <c r="C35" s="6">
        <v>4648</v>
      </c>
      <c r="D35" s="6"/>
      <c r="E35" s="6"/>
      <c r="F35" s="6"/>
    </row>
    <row r="36" spans="1:6" x14ac:dyDescent="0.4">
      <c r="A36" s="15" t="s">
        <v>310</v>
      </c>
      <c r="B36" s="15" t="s">
        <v>314</v>
      </c>
      <c r="C36" s="6">
        <v>51143</v>
      </c>
      <c r="D36" s="6"/>
      <c r="E36" s="6"/>
      <c r="F36" s="6"/>
    </row>
    <row r="37" spans="1:6" x14ac:dyDescent="0.4">
      <c r="A37" s="15" t="s">
        <v>315</v>
      </c>
      <c r="B37" s="15" t="s">
        <v>316</v>
      </c>
      <c r="C37" s="6">
        <v>62581</v>
      </c>
      <c r="D37" s="6"/>
      <c r="E37" s="6"/>
      <c r="F37" s="6"/>
    </row>
    <row r="38" spans="1:6" x14ac:dyDescent="0.4">
      <c r="A38" s="15" t="s">
        <v>315</v>
      </c>
      <c r="B38" s="15" t="s">
        <v>317</v>
      </c>
      <c r="C38" s="6">
        <v>3972</v>
      </c>
      <c r="D38" s="6"/>
      <c r="E38" s="6"/>
      <c r="F38" s="6"/>
    </row>
    <row r="39" spans="1:6" x14ac:dyDescent="0.4">
      <c r="A39" s="15" t="s">
        <v>315</v>
      </c>
      <c r="B39" s="15" t="s">
        <v>318</v>
      </c>
      <c r="C39" s="6">
        <v>95427</v>
      </c>
      <c r="D39" s="6"/>
      <c r="E39" s="6"/>
      <c r="F39" s="6"/>
    </row>
    <row r="40" spans="1:6" x14ac:dyDescent="0.4">
      <c r="A40" s="15" t="s">
        <v>319</v>
      </c>
      <c r="B40" s="15" t="s">
        <v>320</v>
      </c>
      <c r="C40" s="6">
        <v>59836</v>
      </c>
      <c r="D40" s="6"/>
      <c r="E40" s="6"/>
      <c r="F40" s="6"/>
    </row>
    <row r="41" spans="1:6" x14ac:dyDescent="0.4">
      <c r="A41" s="15" t="s">
        <v>319</v>
      </c>
      <c r="B41" s="15" t="s">
        <v>321</v>
      </c>
      <c r="C41" s="6">
        <v>9936</v>
      </c>
      <c r="D41" s="6"/>
      <c r="E41" s="6"/>
      <c r="F41" s="6"/>
    </row>
    <row r="42" spans="1:6" x14ac:dyDescent="0.4">
      <c r="A42" s="15" t="s">
        <v>319</v>
      </c>
      <c r="B42" s="15" t="s">
        <v>322</v>
      </c>
      <c r="C42" s="6">
        <v>14833</v>
      </c>
      <c r="D42" s="6"/>
      <c r="E42" s="6"/>
      <c r="F42" s="6"/>
    </row>
    <row r="43" spans="1:6" x14ac:dyDescent="0.4">
      <c r="A43" s="15" t="s">
        <v>319</v>
      </c>
      <c r="B43" s="15" t="s">
        <v>323</v>
      </c>
      <c r="C43" s="6">
        <v>4758</v>
      </c>
      <c r="D43" s="6"/>
      <c r="E43" s="6"/>
      <c r="F43" s="6"/>
    </row>
    <row r="44" spans="1:6" x14ac:dyDescent="0.4">
      <c r="A44" s="15" t="s">
        <v>324</v>
      </c>
      <c r="B44" s="15" t="s">
        <v>325</v>
      </c>
      <c r="C44" s="6">
        <v>21688</v>
      </c>
      <c r="D44" s="6"/>
      <c r="E44" s="6"/>
      <c r="F44" s="6"/>
    </row>
    <row r="45" spans="1:6" x14ac:dyDescent="0.4">
      <c r="A45" s="15" t="s">
        <v>324</v>
      </c>
      <c r="B45" s="15" t="s">
        <v>326</v>
      </c>
      <c r="C45" s="6">
        <v>81820</v>
      </c>
      <c r="D45" s="6"/>
      <c r="E45" s="6"/>
      <c r="F45" s="6"/>
    </row>
    <row r="46" spans="1:6" x14ac:dyDescent="0.4">
      <c r="A46" s="15" t="s">
        <v>324</v>
      </c>
      <c r="B46" s="15" t="s">
        <v>327</v>
      </c>
      <c r="C46" s="6">
        <v>23509</v>
      </c>
      <c r="D46" s="6"/>
      <c r="E46" s="6"/>
      <c r="F46" s="6"/>
    </row>
    <row r="47" spans="1:6" x14ac:dyDescent="0.4">
      <c r="A47" s="15" t="s">
        <v>324</v>
      </c>
      <c r="B47" s="15" t="s">
        <v>328</v>
      </c>
      <c r="C47" s="6">
        <v>19709</v>
      </c>
      <c r="D47" s="6"/>
      <c r="E47" s="6"/>
      <c r="F47" s="6"/>
    </row>
    <row r="48" spans="1:6" x14ac:dyDescent="0.4">
      <c r="A48" s="15" t="s">
        <v>324</v>
      </c>
      <c r="B48" s="15" t="s">
        <v>329</v>
      </c>
      <c r="C48" s="6">
        <v>12134</v>
      </c>
      <c r="D48" s="6"/>
      <c r="E48" s="6"/>
      <c r="F48" s="6"/>
    </row>
    <row r="49" spans="1:6" x14ac:dyDescent="0.4">
      <c r="A49" s="15" t="s">
        <v>324</v>
      </c>
      <c r="B49" s="15" t="s">
        <v>330</v>
      </c>
      <c r="C49" s="6">
        <v>53846</v>
      </c>
      <c r="D49" s="6"/>
      <c r="E49" s="6"/>
      <c r="F49" s="6"/>
    </row>
    <row r="50" spans="1:6" x14ac:dyDescent="0.4">
      <c r="A50" s="15" t="s">
        <v>324</v>
      </c>
      <c r="B50" s="15" t="s">
        <v>331</v>
      </c>
      <c r="C50" s="6">
        <v>11728</v>
      </c>
      <c r="D50" s="6"/>
      <c r="E50" s="6"/>
      <c r="F50" s="6"/>
    </row>
    <row r="51" spans="1:6" x14ac:dyDescent="0.4">
      <c r="A51" s="15" t="s">
        <v>332</v>
      </c>
      <c r="B51" s="15" t="s">
        <v>333</v>
      </c>
      <c r="C51" s="6">
        <v>242197</v>
      </c>
      <c r="D51" s="6"/>
      <c r="E51" s="6"/>
      <c r="F51" s="6"/>
    </row>
    <row r="52" spans="1:6" x14ac:dyDescent="0.4">
      <c r="A52" s="15" t="s">
        <v>332</v>
      </c>
      <c r="B52" s="15" t="s">
        <v>334</v>
      </c>
      <c r="C52" s="6">
        <v>24754</v>
      </c>
      <c r="D52" s="6"/>
      <c r="E52" s="6"/>
      <c r="F52" s="6"/>
    </row>
    <row r="53" spans="1:6" x14ac:dyDescent="0.4">
      <c r="A53" s="15" t="s">
        <v>332</v>
      </c>
      <c r="B53" s="15" t="s">
        <v>335</v>
      </c>
      <c r="C53" s="6">
        <v>20700</v>
      </c>
      <c r="D53" s="6"/>
      <c r="E53" s="6"/>
      <c r="F53" s="6"/>
    </row>
    <row r="54" spans="1:6" x14ac:dyDescent="0.4">
      <c r="A54" s="15" t="s">
        <v>332</v>
      </c>
      <c r="B54" s="15" t="s">
        <v>336</v>
      </c>
      <c r="C54" s="6">
        <v>5750</v>
      </c>
      <c r="D54" s="6"/>
      <c r="E54" s="6"/>
      <c r="F54" s="6"/>
    </row>
    <row r="55" spans="1:6" x14ac:dyDescent="0.4">
      <c r="A55" s="15" t="s">
        <v>337</v>
      </c>
      <c r="B55" s="15" t="s">
        <v>338</v>
      </c>
      <c r="C55" s="6">
        <v>54439</v>
      </c>
      <c r="D55" s="6"/>
      <c r="E55" s="6"/>
      <c r="F55" s="6"/>
    </row>
    <row r="56" spans="1:6" x14ac:dyDescent="0.4">
      <c r="A56" s="15" t="s">
        <v>337</v>
      </c>
      <c r="B56" s="15" t="s">
        <v>339</v>
      </c>
      <c r="C56" s="6">
        <v>9921</v>
      </c>
      <c r="D56" s="6"/>
      <c r="E56" s="6"/>
      <c r="F56" s="6"/>
    </row>
    <row r="57" spans="1:6" x14ac:dyDescent="0.4">
      <c r="A57" s="15" t="s">
        <v>337</v>
      </c>
      <c r="B57" s="15" t="s">
        <v>340</v>
      </c>
      <c r="C57" s="6">
        <v>9764</v>
      </c>
      <c r="D57" s="6"/>
      <c r="E57" s="6"/>
      <c r="F57" s="6"/>
    </row>
    <row r="58" spans="1:6" x14ac:dyDescent="0.4">
      <c r="A58" s="15" t="s">
        <v>337</v>
      </c>
      <c r="B58" s="15" t="s">
        <v>341</v>
      </c>
      <c r="C58" s="6">
        <v>6665</v>
      </c>
      <c r="D58" s="6"/>
      <c r="E58" s="6"/>
      <c r="F58" s="6"/>
    </row>
    <row r="59" spans="1:6" x14ac:dyDescent="0.4">
      <c r="A59" s="15" t="s">
        <v>337</v>
      </c>
      <c r="B59" s="15" t="s">
        <v>342</v>
      </c>
      <c r="C59" s="6">
        <v>58159</v>
      </c>
      <c r="D59" s="6"/>
      <c r="E59" s="6"/>
      <c r="F59" s="6"/>
    </row>
    <row r="60" spans="1:6" x14ac:dyDescent="0.4">
      <c r="A60" s="15" t="s">
        <v>337</v>
      </c>
      <c r="B60" s="15" t="s">
        <v>343</v>
      </c>
      <c r="C60" s="6">
        <v>8709</v>
      </c>
      <c r="D60" s="6"/>
      <c r="E60" s="6"/>
      <c r="F60" s="6"/>
    </row>
    <row r="61" spans="1:6" x14ac:dyDescent="0.4">
      <c r="A61" s="15"/>
      <c r="B61" s="15"/>
      <c r="C61" s="6"/>
      <c r="D61" s="6"/>
      <c r="E61" s="6"/>
      <c r="F61" s="6"/>
    </row>
    <row r="62" spans="1:6" x14ac:dyDescent="0.4">
      <c r="A62" s="15"/>
      <c r="B62" s="15"/>
      <c r="C62" s="6"/>
      <c r="D62" s="6"/>
      <c r="E62" s="6"/>
      <c r="F62" s="6"/>
    </row>
    <row r="63" spans="1:6" x14ac:dyDescent="0.4">
      <c r="A63" s="15"/>
      <c r="B63" s="15"/>
      <c r="C63" s="6"/>
      <c r="D63" s="6"/>
      <c r="E63" s="6"/>
      <c r="F63" s="6"/>
    </row>
    <row r="64" spans="1:6" x14ac:dyDescent="0.4">
      <c r="A64" s="15"/>
      <c r="B64" s="15"/>
      <c r="C64" s="6"/>
      <c r="D64" s="6"/>
      <c r="E64" s="6"/>
      <c r="F64" s="6"/>
    </row>
    <row r="65" spans="1:6" x14ac:dyDescent="0.4">
      <c r="A65" s="15"/>
      <c r="B65" s="15"/>
      <c r="C65" s="6"/>
      <c r="D65" s="6"/>
      <c r="E65" s="6"/>
      <c r="F65" s="6"/>
    </row>
    <row r="66" spans="1:6" x14ac:dyDescent="0.4">
      <c r="A66" s="15"/>
      <c r="B66" s="15"/>
      <c r="C66" s="6"/>
      <c r="D66" s="6"/>
      <c r="E66" s="6"/>
      <c r="F66" s="6"/>
    </row>
    <row r="67" spans="1:6" x14ac:dyDescent="0.4">
      <c r="A67" s="15"/>
      <c r="B67" s="15"/>
      <c r="C67" s="6"/>
      <c r="D67" s="6"/>
      <c r="E67" s="6"/>
      <c r="F67" s="6"/>
    </row>
    <row r="68" spans="1:6" x14ac:dyDescent="0.4">
      <c r="A68" s="15"/>
      <c r="B68" s="15"/>
      <c r="C68" s="6"/>
      <c r="D68" s="6"/>
      <c r="E68" s="6"/>
      <c r="F68" s="6"/>
    </row>
    <row r="69" spans="1:6" x14ac:dyDescent="0.4">
      <c r="A69" s="15"/>
      <c r="B69" s="15"/>
      <c r="C69" s="6"/>
      <c r="D69" s="6"/>
      <c r="E69" s="6"/>
      <c r="F69" s="6"/>
    </row>
    <row r="70" spans="1:6" x14ac:dyDescent="0.4">
      <c r="A70" s="15"/>
      <c r="B70" s="15"/>
      <c r="C70" s="6"/>
      <c r="D70" s="6"/>
      <c r="E70" s="6"/>
      <c r="F70" s="6"/>
    </row>
    <row r="71" spans="1:6" x14ac:dyDescent="0.4">
      <c r="A71" s="15"/>
      <c r="B71" s="15"/>
      <c r="C71" s="6"/>
      <c r="D71" s="6"/>
      <c r="E71" s="6"/>
      <c r="F71" s="6"/>
    </row>
    <row r="72" spans="1:6" x14ac:dyDescent="0.4">
      <c r="A72" s="15"/>
      <c r="B72" s="15"/>
      <c r="C72" s="6"/>
      <c r="D72" s="6"/>
      <c r="E72" s="6"/>
      <c r="F72" s="6"/>
    </row>
    <row r="73" spans="1:6" x14ac:dyDescent="0.4">
      <c r="A73" s="15"/>
      <c r="B73" s="15"/>
      <c r="C73" s="6"/>
      <c r="D73" s="6"/>
      <c r="E73" s="6"/>
      <c r="F73" s="6"/>
    </row>
    <row r="74" spans="1:6" x14ac:dyDescent="0.4">
      <c r="A74" s="15"/>
      <c r="B74" s="15"/>
      <c r="C74" s="6"/>
      <c r="D74" s="6"/>
      <c r="E74" s="6"/>
      <c r="F74" s="6"/>
    </row>
    <row r="75" spans="1:6" x14ac:dyDescent="0.4">
      <c r="A75" s="15"/>
      <c r="B75" s="15"/>
      <c r="C75" s="6"/>
      <c r="D75" s="6"/>
      <c r="E75" s="6"/>
      <c r="F75" s="6"/>
    </row>
    <row r="76" spans="1:6" x14ac:dyDescent="0.4">
      <c r="A76" s="15"/>
      <c r="B76" s="15"/>
      <c r="C76" s="6"/>
      <c r="D76" s="6"/>
      <c r="E76" s="6"/>
      <c r="F76" s="6"/>
    </row>
    <row r="77" spans="1:6" x14ac:dyDescent="0.4">
      <c r="A77" s="15"/>
      <c r="B77" s="15"/>
      <c r="C77" s="6"/>
      <c r="D77" s="6"/>
      <c r="E77" s="6"/>
      <c r="F77" s="6"/>
    </row>
    <row r="78" spans="1:6" x14ac:dyDescent="0.4">
      <c r="A78" s="15"/>
      <c r="B78" s="15"/>
      <c r="C78" s="6"/>
      <c r="D78" s="6"/>
      <c r="E78" s="6"/>
      <c r="F78" s="6"/>
    </row>
    <row r="79" spans="1:6" x14ac:dyDescent="0.4">
      <c r="A79" s="15"/>
      <c r="B79" s="15"/>
      <c r="C79" s="6"/>
      <c r="D79" s="6"/>
      <c r="E79" s="6"/>
      <c r="F79" s="6"/>
    </row>
    <row r="80" spans="1:6" x14ac:dyDescent="0.4">
      <c r="A80" s="15"/>
      <c r="B80" s="15"/>
      <c r="C80" s="6"/>
      <c r="D80" s="6"/>
      <c r="E80" s="6"/>
      <c r="F80" s="6"/>
    </row>
    <row r="81" spans="1:6" x14ac:dyDescent="0.4">
      <c r="A81" s="15"/>
      <c r="B81" s="15"/>
      <c r="C81" s="6"/>
      <c r="D81" s="6"/>
      <c r="E81" s="6"/>
      <c r="F81" s="6"/>
    </row>
    <row r="82" spans="1:6" x14ac:dyDescent="0.4">
      <c r="A82" s="15"/>
      <c r="B82" s="15"/>
      <c r="C82" s="6"/>
      <c r="D82" s="6"/>
      <c r="E82" s="6"/>
      <c r="F82" s="6"/>
    </row>
    <row r="83" spans="1:6" x14ac:dyDescent="0.4">
      <c r="A83" s="15"/>
      <c r="B83" s="15"/>
      <c r="C83" s="6"/>
      <c r="D83" s="6"/>
      <c r="E83" s="6"/>
      <c r="F83" s="6"/>
    </row>
    <row r="84" spans="1:6" x14ac:dyDescent="0.4">
      <c r="A84" s="15"/>
      <c r="B84" s="15"/>
      <c r="C84" s="6"/>
      <c r="D84" s="6"/>
      <c r="E84" s="6"/>
      <c r="F84" s="6"/>
    </row>
    <row r="85" spans="1:6" x14ac:dyDescent="0.4">
      <c r="A85" s="15"/>
      <c r="B85" s="15"/>
      <c r="C85" s="6"/>
      <c r="D85" s="6"/>
      <c r="E85" s="6"/>
      <c r="F85" s="6"/>
    </row>
    <row r="86" spans="1:6" x14ac:dyDescent="0.4">
      <c r="A86" s="15"/>
      <c r="B86" s="15"/>
      <c r="C86" s="6"/>
      <c r="D86" s="6"/>
      <c r="E86" s="6"/>
      <c r="F86" s="6"/>
    </row>
    <row r="87" spans="1:6" x14ac:dyDescent="0.4">
      <c r="A87" s="15"/>
      <c r="B87" s="15"/>
      <c r="C87" s="6"/>
      <c r="D87" s="6"/>
      <c r="E87" s="6"/>
      <c r="F87" s="6"/>
    </row>
    <row r="88" spans="1:6" x14ac:dyDescent="0.4">
      <c r="A88" s="15"/>
      <c r="B88" s="15"/>
      <c r="C88" s="6"/>
      <c r="D88" s="6"/>
      <c r="E88" s="6"/>
      <c r="F88" s="6"/>
    </row>
    <row r="89" spans="1:6" x14ac:dyDescent="0.4">
      <c r="A89" s="15"/>
      <c r="B89" s="15"/>
      <c r="C89" s="6"/>
      <c r="D89" s="6"/>
      <c r="E89" s="6"/>
      <c r="F89" s="6"/>
    </row>
    <row r="90" spans="1:6" x14ac:dyDescent="0.4">
      <c r="A90" s="15"/>
      <c r="B90" s="15"/>
      <c r="C90" s="6"/>
      <c r="D90" s="6"/>
      <c r="E90" s="6"/>
      <c r="F90" s="6"/>
    </row>
    <row r="91" spans="1:6" x14ac:dyDescent="0.4">
      <c r="A91" s="15"/>
      <c r="B91" s="15"/>
      <c r="C91" s="6"/>
      <c r="D91" s="6"/>
      <c r="E91" s="6"/>
      <c r="F91" s="6"/>
    </row>
    <row r="92" spans="1:6" x14ac:dyDescent="0.4">
      <c r="A92" s="15"/>
      <c r="B92" s="15"/>
      <c r="C92" s="6"/>
      <c r="D92" s="6"/>
      <c r="E92" s="6"/>
      <c r="F92" s="6"/>
    </row>
    <row r="93" spans="1:6" x14ac:dyDescent="0.4">
      <c r="A93" s="15"/>
      <c r="B93" s="15"/>
      <c r="C93" s="6"/>
      <c r="D93" s="6"/>
      <c r="E93" s="6"/>
      <c r="F93" s="6"/>
    </row>
    <row r="94" spans="1:6" x14ac:dyDescent="0.4">
      <c r="A94" s="15"/>
      <c r="B94" s="15"/>
      <c r="C94" s="6"/>
      <c r="D94" s="6"/>
      <c r="E94" s="6"/>
      <c r="F94" s="6"/>
    </row>
    <row r="95" spans="1:6" x14ac:dyDescent="0.4">
      <c r="A95" s="15"/>
      <c r="B95" s="15"/>
      <c r="C95" s="6"/>
      <c r="D95" s="6"/>
      <c r="E95" s="6"/>
      <c r="F95" s="6"/>
    </row>
    <row r="96" spans="1:6" x14ac:dyDescent="0.4">
      <c r="A96" s="15"/>
      <c r="B96" s="15"/>
      <c r="C96" s="6"/>
      <c r="D96" s="6"/>
      <c r="E96" s="6"/>
      <c r="F96" s="6"/>
    </row>
    <row r="97" spans="1:6" x14ac:dyDescent="0.4">
      <c r="A97" s="15"/>
      <c r="B97" s="15"/>
      <c r="C97" s="6"/>
      <c r="D97" s="6"/>
      <c r="E97" s="6"/>
      <c r="F97" s="6"/>
    </row>
    <row r="98" spans="1:6" x14ac:dyDescent="0.4">
      <c r="A98" s="15"/>
      <c r="B98" s="15"/>
      <c r="C98" s="6"/>
      <c r="D98" s="6"/>
      <c r="E98" s="6"/>
      <c r="F98" s="6"/>
    </row>
    <row r="99" spans="1:6" x14ac:dyDescent="0.4">
      <c r="A99" s="15"/>
      <c r="B99" s="15"/>
      <c r="C99" s="6"/>
      <c r="D99" s="6"/>
      <c r="E99" s="6"/>
      <c r="F99" s="6"/>
    </row>
    <row r="100" spans="1:6" x14ac:dyDescent="0.4">
      <c r="A100" s="15"/>
      <c r="B100" s="15"/>
      <c r="C100" s="6"/>
      <c r="D100" s="6"/>
      <c r="E100" s="6"/>
      <c r="F100" s="6"/>
    </row>
    <row r="101" spans="1:6" x14ac:dyDescent="0.4">
      <c r="A101" s="15"/>
      <c r="B101" s="15"/>
      <c r="C101" s="6"/>
      <c r="D101" s="6"/>
      <c r="E101" s="6"/>
      <c r="F101" s="6"/>
    </row>
    <row r="102" spans="1:6" x14ac:dyDescent="0.4">
      <c r="A102" s="15"/>
      <c r="B102" s="15"/>
      <c r="C102" s="6"/>
      <c r="D102" s="6"/>
      <c r="E102" s="6"/>
      <c r="F102" s="6"/>
    </row>
    <row r="103" spans="1:6" x14ac:dyDescent="0.4">
      <c r="A103" s="15"/>
      <c r="B103" s="15"/>
      <c r="C103" s="6"/>
      <c r="D103" s="6"/>
      <c r="E103" s="6"/>
      <c r="F103" s="6"/>
    </row>
    <row r="104" spans="1:6" x14ac:dyDescent="0.4">
      <c r="A104" s="15"/>
      <c r="B104" s="15"/>
      <c r="C104" s="6"/>
      <c r="D104" s="6"/>
      <c r="E104" s="6"/>
      <c r="F104" s="6"/>
    </row>
    <row r="105" spans="1:6" x14ac:dyDescent="0.4">
      <c r="A105" s="15"/>
      <c r="B105" s="15"/>
      <c r="C105" s="6"/>
      <c r="D105" s="6"/>
      <c r="E105" s="6"/>
      <c r="F105" s="6"/>
    </row>
    <row r="106" spans="1:6" x14ac:dyDescent="0.4">
      <c r="A106" s="15"/>
      <c r="B106" s="15"/>
      <c r="C106" s="6"/>
      <c r="D106" s="6"/>
      <c r="E106" s="6"/>
      <c r="F106" s="6"/>
    </row>
    <row r="107" spans="1:6" x14ac:dyDescent="0.4">
      <c r="A107" s="15"/>
      <c r="B107" s="15"/>
      <c r="C107" s="6"/>
      <c r="D107" s="6"/>
      <c r="E107" s="6"/>
      <c r="F107" s="6"/>
    </row>
    <row r="108" spans="1:6" x14ac:dyDescent="0.4">
      <c r="A108" s="15"/>
      <c r="B108" s="15"/>
      <c r="C108" s="6"/>
      <c r="D108" s="6"/>
      <c r="E108" s="6"/>
      <c r="F108" s="6"/>
    </row>
    <row r="109" spans="1:6" x14ac:dyDescent="0.4">
      <c r="A109" s="15"/>
      <c r="B109" s="15"/>
      <c r="C109" s="6"/>
      <c r="D109" s="6"/>
      <c r="E109" s="6"/>
      <c r="F109" s="6"/>
    </row>
    <row r="110" spans="1:6" x14ac:dyDescent="0.4">
      <c r="A110" s="15"/>
      <c r="B110" s="15"/>
      <c r="C110" s="6"/>
      <c r="D110" s="6"/>
      <c r="E110" s="6"/>
      <c r="F110" s="6"/>
    </row>
    <row r="111" spans="1:6" x14ac:dyDescent="0.4">
      <c r="A111" s="15"/>
      <c r="B111" s="15"/>
      <c r="C111" s="6"/>
      <c r="D111" s="6"/>
      <c r="E111" s="6"/>
      <c r="F111" s="6"/>
    </row>
    <row r="112" spans="1:6" x14ac:dyDescent="0.4">
      <c r="A112" s="15"/>
      <c r="B112" s="15"/>
      <c r="C112" s="6"/>
      <c r="D112" s="6"/>
      <c r="E112" s="6"/>
      <c r="F112" s="6"/>
    </row>
    <row r="113" spans="1:6" x14ac:dyDescent="0.4">
      <c r="A113" s="15"/>
      <c r="B113" s="15"/>
      <c r="C113" s="6"/>
      <c r="D113" s="6"/>
      <c r="E113" s="6"/>
      <c r="F113" s="6"/>
    </row>
    <row r="114" spans="1:6" x14ac:dyDescent="0.4">
      <c r="A114" s="15"/>
      <c r="B114" s="15"/>
      <c r="C114" s="6"/>
      <c r="D114" s="6"/>
      <c r="E114" s="6"/>
      <c r="F114" s="6"/>
    </row>
    <row r="115" spans="1:6" x14ac:dyDescent="0.4">
      <c r="A115" s="15"/>
      <c r="B115" s="15"/>
      <c r="C115" s="6"/>
      <c r="D115" s="6"/>
      <c r="E115" s="6"/>
      <c r="F115" s="6"/>
    </row>
    <row r="116" spans="1:6" x14ac:dyDescent="0.4">
      <c r="A116" s="15"/>
      <c r="B116" s="15"/>
      <c r="C116" s="6"/>
      <c r="D116" s="6"/>
      <c r="E116" s="6"/>
      <c r="F116" s="6"/>
    </row>
    <row r="117" spans="1:6" x14ac:dyDescent="0.4">
      <c r="A117" s="15"/>
      <c r="B117" s="15"/>
      <c r="C117" s="6"/>
      <c r="D117" s="6"/>
      <c r="E117" s="6"/>
      <c r="F117" s="6"/>
    </row>
    <row r="118" spans="1:6" x14ac:dyDescent="0.4">
      <c r="A118" s="15"/>
      <c r="B118" s="15"/>
      <c r="C118" s="6"/>
      <c r="D118" s="6"/>
      <c r="E118" s="6"/>
      <c r="F118" s="6"/>
    </row>
    <row r="119" spans="1:6" x14ac:dyDescent="0.4">
      <c r="A119" s="15"/>
      <c r="B119" s="15"/>
      <c r="C119" s="6"/>
      <c r="D119" s="6"/>
      <c r="E119" s="6"/>
      <c r="F119" s="6"/>
    </row>
    <row r="120" spans="1:6" x14ac:dyDescent="0.4">
      <c r="A120" s="15"/>
      <c r="B120" s="15"/>
      <c r="C120" s="6"/>
      <c r="D120" s="6"/>
      <c r="E120" s="6"/>
      <c r="F120" s="6"/>
    </row>
    <row r="121" spans="1:6" x14ac:dyDescent="0.4">
      <c r="A121" s="15"/>
      <c r="B121" s="15"/>
      <c r="C121" s="6"/>
      <c r="D121" s="6"/>
      <c r="E121" s="6"/>
      <c r="F121" s="6"/>
    </row>
    <row r="122" spans="1:6" x14ac:dyDescent="0.4">
      <c r="A122" s="15"/>
      <c r="B122" s="15"/>
      <c r="C122" s="6"/>
      <c r="D122" s="6"/>
      <c r="E122" s="6"/>
      <c r="F122" s="6"/>
    </row>
    <row r="123" spans="1:6" x14ac:dyDescent="0.4">
      <c r="A123" s="15"/>
      <c r="B123" s="15"/>
      <c r="C123" s="6"/>
      <c r="D123" s="6"/>
      <c r="E123" s="6"/>
      <c r="F123" s="6"/>
    </row>
    <row r="124" spans="1:6" x14ac:dyDescent="0.4">
      <c r="A124" s="15"/>
      <c r="B124" s="15"/>
      <c r="C124" s="6"/>
      <c r="D124" s="6"/>
      <c r="E124" s="6"/>
      <c r="F124" s="6"/>
    </row>
    <row r="125" spans="1:6" x14ac:dyDescent="0.4">
      <c r="A125" s="15"/>
      <c r="B125" s="15"/>
      <c r="C125" s="6"/>
      <c r="D125" s="6"/>
      <c r="E125" s="6"/>
      <c r="F125" s="6"/>
    </row>
    <row r="126" spans="1:6" x14ac:dyDescent="0.4">
      <c r="A126" s="15"/>
      <c r="B126" s="15"/>
      <c r="C126" s="6"/>
      <c r="D126" s="6"/>
      <c r="E126" s="6"/>
      <c r="F126" s="6"/>
    </row>
    <row r="127" spans="1:6" x14ac:dyDescent="0.4">
      <c r="A127" s="15"/>
      <c r="B127" s="15"/>
      <c r="C127" s="6"/>
      <c r="D127" s="6"/>
      <c r="E127" s="6"/>
      <c r="F127" s="6"/>
    </row>
    <row r="128" spans="1:6" x14ac:dyDescent="0.4">
      <c r="A128" s="15"/>
      <c r="B128" s="15"/>
      <c r="C128" s="6"/>
      <c r="D128" s="6"/>
      <c r="E128" s="6"/>
      <c r="F128" s="6"/>
    </row>
    <row r="129" spans="1:6" x14ac:dyDescent="0.4">
      <c r="A129" s="15"/>
      <c r="B129" s="15"/>
      <c r="C129" s="6"/>
      <c r="D129" s="6"/>
      <c r="E129" s="6"/>
      <c r="F129" s="6"/>
    </row>
    <row r="130" spans="1:6" x14ac:dyDescent="0.4">
      <c r="A130" s="15"/>
      <c r="B130" s="15"/>
      <c r="C130" s="6"/>
      <c r="D130" s="6"/>
      <c r="E130" s="6"/>
      <c r="F130" s="6"/>
    </row>
    <row r="131" spans="1:6" x14ac:dyDescent="0.4">
      <c r="A131" s="15"/>
      <c r="B131" s="15"/>
      <c r="C131" s="6"/>
      <c r="D131" s="6"/>
      <c r="E131" s="6"/>
      <c r="F131" s="6"/>
    </row>
    <row r="132" spans="1:6" x14ac:dyDescent="0.4">
      <c r="A132" s="15"/>
      <c r="B132" s="15"/>
      <c r="C132" s="6"/>
      <c r="D132" s="6"/>
      <c r="E132" s="6"/>
      <c r="F132" s="6"/>
    </row>
    <row r="133" spans="1:6" x14ac:dyDescent="0.4">
      <c r="A133" s="15"/>
      <c r="B133" s="15"/>
      <c r="C133" s="6"/>
      <c r="D133" s="6"/>
      <c r="E133" s="6"/>
      <c r="F133" s="6"/>
    </row>
    <row r="134" spans="1:6" x14ac:dyDescent="0.4">
      <c r="A134" s="15"/>
      <c r="B134" s="15"/>
      <c r="C134" s="6"/>
      <c r="D134" s="6"/>
      <c r="E134" s="6"/>
      <c r="F134" s="6"/>
    </row>
    <row r="135" spans="1:6" x14ac:dyDescent="0.4">
      <c r="A135" s="15"/>
      <c r="B135" s="15"/>
      <c r="C135" s="6"/>
      <c r="D135" s="6"/>
      <c r="E135" s="6"/>
      <c r="F135" s="6"/>
    </row>
    <row r="136" spans="1:6" x14ac:dyDescent="0.4">
      <c r="A136" s="15"/>
      <c r="B136" s="15"/>
      <c r="C136" s="6"/>
      <c r="D136" s="6"/>
      <c r="E136" s="6"/>
      <c r="F136" s="6"/>
    </row>
    <row r="137" spans="1:6" x14ac:dyDescent="0.4">
      <c r="A137" s="15"/>
      <c r="B137" s="15"/>
      <c r="C137" s="6"/>
      <c r="D137" s="6"/>
      <c r="E137" s="6"/>
      <c r="F137" s="6"/>
    </row>
    <row r="138" spans="1:6" x14ac:dyDescent="0.4">
      <c r="A138" s="15"/>
      <c r="B138" s="15"/>
      <c r="C138" s="6"/>
      <c r="D138" s="6"/>
      <c r="E138" s="6"/>
      <c r="F138" s="6"/>
    </row>
    <row r="139" spans="1:6" x14ac:dyDescent="0.4">
      <c r="A139" s="15"/>
      <c r="B139" s="15"/>
      <c r="C139" s="6"/>
      <c r="D139" s="6"/>
      <c r="E139" s="6"/>
      <c r="F139" s="6"/>
    </row>
    <row r="140" spans="1:6" x14ac:dyDescent="0.4">
      <c r="A140" s="15"/>
      <c r="B140" s="15"/>
      <c r="C140" s="6"/>
      <c r="D140" s="6"/>
      <c r="E140" s="6"/>
      <c r="F140" s="6"/>
    </row>
    <row r="141" spans="1:6" x14ac:dyDescent="0.4">
      <c r="A141" s="15"/>
      <c r="B141" s="15"/>
      <c r="C141" s="6"/>
      <c r="D141" s="6"/>
      <c r="E141" s="6"/>
      <c r="F141" s="6"/>
    </row>
    <row r="142" spans="1:6" x14ac:dyDescent="0.4">
      <c r="A142" s="15"/>
      <c r="B142" s="15"/>
      <c r="C142" s="6"/>
      <c r="D142" s="6"/>
      <c r="E142" s="6"/>
      <c r="F142" s="6"/>
    </row>
    <row r="143" spans="1:6" x14ac:dyDescent="0.4">
      <c r="A143" s="15"/>
      <c r="B143" s="15"/>
      <c r="C143" s="6"/>
      <c r="D143" s="6"/>
      <c r="E143" s="6"/>
      <c r="F143" s="6"/>
    </row>
    <row r="144" spans="1:6" x14ac:dyDescent="0.4">
      <c r="A144" s="15"/>
      <c r="B144" s="15"/>
      <c r="C144" s="6"/>
      <c r="D144" s="6"/>
      <c r="E144" s="6"/>
      <c r="F144" s="6"/>
    </row>
    <row r="145" spans="1:6" x14ac:dyDescent="0.4">
      <c r="A145" s="15"/>
      <c r="B145" s="15"/>
      <c r="C145" s="6"/>
      <c r="D145" s="6"/>
      <c r="E145" s="6"/>
      <c r="F145" s="6"/>
    </row>
    <row r="146" spans="1:6" x14ac:dyDescent="0.4">
      <c r="A146" s="15"/>
      <c r="B146" s="15"/>
      <c r="C146" s="6"/>
      <c r="D146" s="6"/>
      <c r="E146" s="6"/>
      <c r="F146" s="6"/>
    </row>
    <row r="147" spans="1:6" x14ac:dyDescent="0.4">
      <c r="A147" s="15"/>
      <c r="B147" s="15"/>
      <c r="C147" s="6"/>
      <c r="D147" s="6"/>
      <c r="E147" s="6"/>
      <c r="F147" s="6"/>
    </row>
    <row r="148" spans="1:6" x14ac:dyDescent="0.4">
      <c r="A148" s="15"/>
      <c r="B148" s="15"/>
      <c r="C148" s="6"/>
      <c r="D148" s="6"/>
      <c r="E148" s="6"/>
      <c r="F148" s="6"/>
    </row>
    <row r="149" spans="1:6" x14ac:dyDescent="0.4">
      <c r="A149" s="15"/>
      <c r="B149" s="15"/>
      <c r="C149" s="6"/>
      <c r="D149" s="6"/>
      <c r="E149" s="6"/>
      <c r="F149" s="6"/>
    </row>
    <row r="150" spans="1:6" x14ac:dyDescent="0.4">
      <c r="A150" s="15"/>
      <c r="B150" s="15"/>
      <c r="C150" s="6"/>
      <c r="D150" s="6"/>
      <c r="E150" s="6"/>
      <c r="F150" s="6"/>
    </row>
    <row r="151" spans="1:6" x14ac:dyDescent="0.4">
      <c r="A151" s="15"/>
      <c r="B151" s="15"/>
      <c r="C151" s="6"/>
      <c r="D151" s="6"/>
      <c r="E151" s="6"/>
      <c r="F151" s="6"/>
    </row>
    <row r="152" spans="1:6" x14ac:dyDescent="0.4">
      <c r="A152" s="15"/>
      <c r="B152" s="15"/>
      <c r="C152" s="6"/>
      <c r="D152" s="6"/>
      <c r="E152" s="6"/>
      <c r="F152" s="6"/>
    </row>
    <row r="153" spans="1:6" x14ac:dyDescent="0.4">
      <c r="A153" s="15"/>
      <c r="B153" s="15"/>
      <c r="C153" s="6"/>
      <c r="D153" s="6"/>
      <c r="E153" s="6"/>
      <c r="F153" s="6"/>
    </row>
    <row r="154" spans="1:6" x14ac:dyDescent="0.4">
      <c r="A154" s="15"/>
      <c r="B154" s="15"/>
      <c r="C154" s="6"/>
      <c r="D154" s="6"/>
      <c r="E154" s="6"/>
      <c r="F154" s="6"/>
    </row>
    <row r="155" spans="1:6" x14ac:dyDescent="0.4">
      <c r="A155" s="15"/>
      <c r="B155" s="15"/>
      <c r="C155" s="6"/>
      <c r="D155" s="6"/>
      <c r="E155" s="6"/>
      <c r="F155" s="6"/>
    </row>
    <row r="156" spans="1:6" x14ac:dyDescent="0.4">
      <c r="A156" s="15"/>
      <c r="B156" s="15"/>
      <c r="C156" s="6"/>
      <c r="D156" s="6"/>
      <c r="E156" s="6"/>
      <c r="F156" s="6"/>
    </row>
    <row r="157" spans="1:6" x14ac:dyDescent="0.4">
      <c r="A157" s="15"/>
      <c r="B157" s="15"/>
      <c r="C157" s="6"/>
      <c r="D157" s="6"/>
      <c r="E157" s="6"/>
      <c r="F157" s="6"/>
    </row>
    <row r="158" spans="1:6" x14ac:dyDescent="0.4">
      <c r="A158" s="15"/>
      <c r="B158" s="15"/>
      <c r="C158" s="6"/>
      <c r="D158" s="6"/>
      <c r="E158" s="6"/>
      <c r="F158" s="6"/>
    </row>
    <row r="159" spans="1:6" x14ac:dyDescent="0.4">
      <c r="A159" s="15"/>
      <c r="B159" s="15"/>
      <c r="C159" s="6"/>
      <c r="D159" s="6"/>
      <c r="E159" s="6"/>
      <c r="F159" s="6"/>
    </row>
    <row r="160" spans="1:6" x14ac:dyDescent="0.4">
      <c r="A160" s="15"/>
      <c r="B160" s="15"/>
      <c r="C160" s="6"/>
      <c r="D160" s="6"/>
      <c r="E160" s="6"/>
      <c r="F160" s="6"/>
    </row>
    <row r="161" spans="1:6" x14ac:dyDescent="0.4">
      <c r="A161" s="15"/>
      <c r="B161" s="15"/>
      <c r="C161" s="6"/>
      <c r="D161" s="6"/>
      <c r="E161" s="6"/>
      <c r="F161" s="6"/>
    </row>
    <row r="162" spans="1:6" x14ac:dyDescent="0.4">
      <c r="A162" s="15"/>
      <c r="B162" s="15"/>
      <c r="C162" s="6"/>
      <c r="D162" s="6"/>
      <c r="E162" s="6"/>
      <c r="F162" s="6"/>
    </row>
    <row r="163" spans="1:6" x14ac:dyDescent="0.4">
      <c r="A163" s="15"/>
      <c r="B163" s="15"/>
      <c r="C163" s="6"/>
      <c r="D163" s="6"/>
      <c r="E163" s="6"/>
      <c r="F163" s="6"/>
    </row>
    <row r="164" spans="1:6" x14ac:dyDescent="0.4">
      <c r="A164" s="15"/>
      <c r="B164" s="15"/>
      <c r="C164" s="6"/>
      <c r="D164" s="6"/>
      <c r="E164" s="6"/>
      <c r="F164" s="6"/>
    </row>
    <row r="165" spans="1:6" x14ac:dyDescent="0.4">
      <c r="A165" s="15"/>
      <c r="B165" s="15"/>
      <c r="C165" s="6"/>
      <c r="D165" s="6"/>
      <c r="E165" s="6"/>
      <c r="F165" s="6"/>
    </row>
    <row r="166" spans="1:6" x14ac:dyDescent="0.4">
      <c r="A166" s="15"/>
      <c r="B166" s="15"/>
      <c r="C166" s="6"/>
      <c r="D166" s="6"/>
      <c r="E166" s="6"/>
      <c r="F166" s="6"/>
    </row>
    <row r="167" spans="1:6" x14ac:dyDescent="0.4">
      <c r="A167" s="15"/>
      <c r="B167" s="15"/>
      <c r="C167" s="6"/>
      <c r="D167" s="6"/>
      <c r="E167" s="6"/>
      <c r="F167" s="6"/>
    </row>
    <row r="168" spans="1:6" x14ac:dyDescent="0.4">
      <c r="A168" s="15"/>
      <c r="B168" s="15"/>
      <c r="C168" s="6"/>
      <c r="D168" s="6"/>
      <c r="E168" s="6"/>
      <c r="F168" s="6"/>
    </row>
    <row r="169" spans="1:6" x14ac:dyDescent="0.4">
      <c r="A169" s="15"/>
      <c r="B169" s="15"/>
      <c r="C169" s="6"/>
      <c r="D169" s="6"/>
      <c r="E169" s="6"/>
      <c r="F169" s="6"/>
    </row>
    <row r="170" spans="1:6" x14ac:dyDescent="0.4">
      <c r="A170" s="15"/>
      <c r="B170" s="15"/>
      <c r="C170" s="6"/>
      <c r="D170" s="6"/>
      <c r="E170" s="6"/>
      <c r="F170" s="6"/>
    </row>
    <row r="171" spans="1:6" x14ac:dyDescent="0.4">
      <c r="A171" s="15"/>
      <c r="B171" s="15"/>
      <c r="C171" s="6"/>
      <c r="D171" s="6"/>
      <c r="E171" s="6"/>
      <c r="F171" s="6"/>
    </row>
    <row r="172" spans="1:6" x14ac:dyDescent="0.4">
      <c r="A172" s="15"/>
      <c r="B172" s="15"/>
      <c r="C172" s="6"/>
      <c r="D172" s="6"/>
      <c r="E172" s="6"/>
      <c r="F172" s="6"/>
    </row>
    <row r="173" spans="1:6" x14ac:dyDescent="0.4">
      <c r="A173" s="15"/>
      <c r="B173" s="15"/>
      <c r="C173" s="6"/>
      <c r="D173" s="6"/>
      <c r="E173" s="6"/>
      <c r="F173" s="6"/>
    </row>
    <row r="174" spans="1:6" x14ac:dyDescent="0.4">
      <c r="A174" s="15"/>
      <c r="B174" s="15"/>
      <c r="C174" s="6"/>
      <c r="D174" s="6"/>
      <c r="E174" s="6"/>
      <c r="F174" s="6"/>
    </row>
    <row r="175" spans="1:6" x14ac:dyDescent="0.4">
      <c r="A175" s="15"/>
      <c r="B175" s="15"/>
      <c r="C175" s="6"/>
      <c r="D175" s="6"/>
      <c r="E175" s="6"/>
      <c r="F175" s="6"/>
    </row>
    <row r="176" spans="1:6" x14ac:dyDescent="0.4">
      <c r="A176" s="15"/>
      <c r="B176" s="15"/>
      <c r="C176" s="6"/>
      <c r="D176" s="6"/>
      <c r="E176" s="6"/>
      <c r="F176" s="6"/>
    </row>
    <row r="177" spans="1:6" x14ac:dyDescent="0.4">
      <c r="A177" s="15"/>
      <c r="B177" s="15"/>
      <c r="C177" s="6"/>
      <c r="D177" s="6"/>
      <c r="E177" s="6"/>
      <c r="F177" s="6"/>
    </row>
    <row r="178" spans="1:6" x14ac:dyDescent="0.4">
      <c r="A178" s="15"/>
      <c r="B178" s="15"/>
      <c r="C178" s="6"/>
      <c r="D178" s="6"/>
      <c r="E178" s="6"/>
      <c r="F178" s="6"/>
    </row>
    <row r="179" spans="1:6" x14ac:dyDescent="0.4">
      <c r="A179" s="15"/>
      <c r="B179" s="15"/>
      <c r="C179" s="6"/>
      <c r="D179" s="6"/>
      <c r="E179" s="6"/>
      <c r="F179" s="6"/>
    </row>
    <row r="180" spans="1:6" x14ac:dyDescent="0.4">
      <c r="A180" s="15"/>
      <c r="B180" s="15"/>
      <c r="C180" s="6"/>
      <c r="D180" s="6"/>
      <c r="E180" s="6"/>
      <c r="F180" s="6"/>
    </row>
    <row r="181" spans="1:6" x14ac:dyDescent="0.4">
      <c r="A181" s="15"/>
      <c r="B181" s="15"/>
      <c r="C181" s="6"/>
      <c r="D181" s="6"/>
      <c r="E181" s="6"/>
      <c r="F181" s="6"/>
    </row>
    <row r="182" spans="1:6" x14ac:dyDescent="0.4">
      <c r="A182" s="15"/>
      <c r="B182" s="15"/>
      <c r="C182" s="6"/>
      <c r="D182" s="6"/>
      <c r="E182" s="6"/>
      <c r="F182" s="6"/>
    </row>
    <row r="183" spans="1:6" x14ac:dyDescent="0.4">
      <c r="A183" s="15"/>
      <c r="B183" s="15"/>
      <c r="C183" s="6"/>
      <c r="D183" s="6"/>
      <c r="E183" s="6"/>
      <c r="F183" s="6"/>
    </row>
    <row r="184" spans="1:6" x14ac:dyDescent="0.4">
      <c r="A184" s="15"/>
      <c r="B184" s="15"/>
      <c r="C184" s="6"/>
      <c r="D184" s="6"/>
      <c r="E184" s="6"/>
      <c r="F184" s="6"/>
    </row>
    <row r="185" spans="1:6" x14ac:dyDescent="0.4">
      <c r="A185" s="15"/>
      <c r="B185" s="15"/>
      <c r="C185" s="6"/>
      <c r="D185" s="6"/>
      <c r="E185" s="6"/>
      <c r="F185" s="6"/>
    </row>
    <row r="186" spans="1:6" x14ac:dyDescent="0.4">
      <c r="A186" s="15"/>
      <c r="B186" s="15"/>
      <c r="C186" s="6"/>
      <c r="D186" s="6"/>
      <c r="E186" s="6"/>
      <c r="F186" s="6"/>
    </row>
    <row r="187" spans="1:6" x14ac:dyDescent="0.4">
      <c r="A187" s="15"/>
      <c r="B187" s="15"/>
      <c r="C187" s="6"/>
      <c r="D187" s="6"/>
      <c r="E187" s="6"/>
      <c r="F187" s="6"/>
    </row>
    <row r="188" spans="1:6" x14ac:dyDescent="0.4">
      <c r="A188" s="15"/>
      <c r="B188" s="15"/>
      <c r="C188" s="6"/>
      <c r="D188" s="6"/>
      <c r="E188" s="6"/>
      <c r="F188" s="6"/>
    </row>
    <row r="189" spans="1:6" x14ac:dyDescent="0.4">
      <c r="A189" s="15"/>
      <c r="B189" s="15"/>
      <c r="C189" s="6"/>
      <c r="D189" s="6"/>
      <c r="E189" s="6"/>
      <c r="F189" s="6"/>
    </row>
    <row r="190" spans="1:6" x14ac:dyDescent="0.4">
      <c r="A190" s="15"/>
      <c r="B190" s="15"/>
      <c r="C190" s="6"/>
      <c r="D190" s="6"/>
      <c r="E190" s="6"/>
      <c r="F190" s="6"/>
    </row>
    <row r="191" spans="1:6" x14ac:dyDescent="0.4">
      <c r="A191" s="15"/>
      <c r="B191" s="15"/>
      <c r="C191" s="6"/>
      <c r="D191" s="6"/>
      <c r="E191" s="6"/>
      <c r="F191" s="6"/>
    </row>
    <row r="192" spans="1:6" x14ac:dyDescent="0.4">
      <c r="A192" s="15"/>
      <c r="B192" s="15"/>
      <c r="C192" s="6"/>
      <c r="D192" s="6"/>
      <c r="E192" s="6"/>
      <c r="F192" s="6"/>
    </row>
    <row r="193" spans="1:6" x14ac:dyDescent="0.4">
      <c r="A193" s="15"/>
      <c r="B193" s="15"/>
      <c r="C193" s="6"/>
      <c r="D193" s="6"/>
      <c r="E193" s="6"/>
      <c r="F193" s="6"/>
    </row>
    <row r="194" spans="1:6" x14ac:dyDescent="0.4">
      <c r="A194" s="15"/>
      <c r="B194" s="15"/>
      <c r="C194" s="6"/>
      <c r="D194" s="6"/>
      <c r="E194" s="6"/>
      <c r="F194" s="6"/>
    </row>
    <row r="195" spans="1:6" x14ac:dyDescent="0.4">
      <c r="A195" s="15"/>
      <c r="B195" s="15"/>
      <c r="C195" s="6"/>
      <c r="D195" s="6"/>
      <c r="E195" s="6"/>
      <c r="F195" s="6"/>
    </row>
    <row r="196" spans="1:6" x14ac:dyDescent="0.4">
      <c r="A196" s="15"/>
      <c r="B196" s="15"/>
      <c r="C196" s="6"/>
      <c r="D196" s="6"/>
      <c r="E196" s="6"/>
      <c r="F196" s="6"/>
    </row>
    <row r="197" spans="1:6" x14ac:dyDescent="0.4">
      <c r="A197" s="15"/>
      <c r="B197" s="15"/>
      <c r="C197" s="6"/>
      <c r="D197" s="6"/>
      <c r="E197" s="6"/>
      <c r="F197" s="6"/>
    </row>
    <row r="198" spans="1:6" x14ac:dyDescent="0.4">
      <c r="A198" s="15"/>
      <c r="B198" s="15"/>
      <c r="C198" s="6"/>
      <c r="D198" s="6"/>
      <c r="E198" s="6"/>
      <c r="F198" s="6"/>
    </row>
    <row r="199" spans="1:6" x14ac:dyDescent="0.4">
      <c r="A199" s="15"/>
      <c r="B199" s="15"/>
      <c r="C199" s="6"/>
      <c r="D199" s="6"/>
      <c r="E199" s="6"/>
      <c r="F199" s="6"/>
    </row>
    <row r="200" spans="1:6" x14ac:dyDescent="0.4">
      <c r="A200" s="15"/>
      <c r="B200" s="15"/>
      <c r="C200" s="6"/>
      <c r="D200" s="6"/>
      <c r="E200" s="6"/>
      <c r="F200" s="6"/>
    </row>
    <row r="201" spans="1:6" x14ac:dyDescent="0.4">
      <c r="A201" s="15"/>
      <c r="B201" s="15"/>
      <c r="C201" s="6"/>
      <c r="D201" s="6"/>
      <c r="E201" s="6"/>
      <c r="F201" s="6"/>
    </row>
    <row r="202" spans="1:6" x14ac:dyDescent="0.4">
      <c r="A202" s="15"/>
      <c r="B202" s="15"/>
      <c r="C202" s="6"/>
      <c r="D202" s="6"/>
      <c r="E202" s="6"/>
      <c r="F202" s="6"/>
    </row>
    <row r="203" spans="1:6" x14ac:dyDescent="0.4">
      <c r="A203" s="15"/>
      <c r="B203" s="15"/>
      <c r="C203" s="6"/>
      <c r="D203" s="6"/>
      <c r="E203" s="6"/>
      <c r="F203" s="6"/>
    </row>
    <row r="204" spans="1:6" x14ac:dyDescent="0.4">
      <c r="A204" s="15"/>
      <c r="B204" s="15"/>
      <c r="C204" s="6"/>
      <c r="D204" s="6"/>
      <c r="E204" s="6"/>
      <c r="F204" s="6"/>
    </row>
    <row r="205" spans="1:6" x14ac:dyDescent="0.4">
      <c r="A205" s="15"/>
      <c r="B205" s="15"/>
      <c r="C205" s="6"/>
      <c r="D205" s="6"/>
      <c r="E205" s="6"/>
      <c r="F205" s="6"/>
    </row>
    <row r="206" spans="1:6" x14ac:dyDescent="0.4">
      <c r="A206" s="15"/>
      <c r="B206" s="15"/>
      <c r="C206" s="6"/>
      <c r="D206" s="6"/>
      <c r="E206" s="6"/>
      <c r="F206" s="6"/>
    </row>
    <row r="207" spans="1:6" x14ac:dyDescent="0.4">
      <c r="A207" s="15"/>
      <c r="B207" s="15"/>
      <c r="C207" s="6"/>
      <c r="D207" s="6"/>
      <c r="E207" s="6"/>
      <c r="F207" s="6"/>
    </row>
    <row r="208" spans="1:6" x14ac:dyDescent="0.4">
      <c r="A208" s="15"/>
      <c r="B208" s="15"/>
      <c r="C208" s="6"/>
      <c r="D208" s="6"/>
      <c r="E208" s="6"/>
      <c r="F208" s="6"/>
    </row>
    <row r="209" spans="1:6" x14ac:dyDescent="0.4">
      <c r="A209" s="15"/>
      <c r="B209" s="15"/>
      <c r="C209" s="6"/>
      <c r="D209" s="6"/>
      <c r="E209" s="6"/>
      <c r="F209" s="6"/>
    </row>
    <row r="210" spans="1:6" x14ac:dyDescent="0.4">
      <c r="A210" s="15"/>
      <c r="B210" s="15"/>
      <c r="C210" s="6"/>
      <c r="D210" s="6"/>
      <c r="E210" s="6"/>
      <c r="F210" s="6"/>
    </row>
    <row r="211" spans="1:6" x14ac:dyDescent="0.4">
      <c r="A211" s="15"/>
      <c r="B211" s="15"/>
      <c r="C211" s="6"/>
      <c r="D211" s="6"/>
      <c r="E211" s="6"/>
      <c r="F211" s="6"/>
    </row>
    <row r="212" spans="1:6" x14ac:dyDescent="0.4">
      <c r="A212" s="15"/>
      <c r="B212" s="15"/>
      <c r="C212" s="6"/>
      <c r="D212" s="6"/>
      <c r="E212" s="6"/>
      <c r="F212" s="6"/>
    </row>
    <row r="213" spans="1:6" x14ac:dyDescent="0.4">
      <c r="A213" s="15"/>
      <c r="B213" s="15"/>
      <c r="C213" s="6"/>
      <c r="D213" s="6"/>
      <c r="E213" s="6"/>
      <c r="F213" s="6"/>
    </row>
    <row r="214" spans="1:6" x14ac:dyDescent="0.4">
      <c r="A214" s="15"/>
      <c r="B214" s="15"/>
      <c r="C214" s="6"/>
      <c r="D214" s="6"/>
      <c r="E214" s="6"/>
      <c r="F214" s="6"/>
    </row>
    <row r="215" spans="1:6" x14ac:dyDescent="0.4">
      <c r="A215" s="15"/>
      <c r="B215" s="15"/>
      <c r="C215" s="6"/>
      <c r="D215" s="6"/>
      <c r="E215" s="6"/>
      <c r="F215" s="6"/>
    </row>
    <row r="216" spans="1:6" x14ac:dyDescent="0.4">
      <c r="A216" s="15"/>
      <c r="B216" s="15"/>
      <c r="C216" s="6"/>
      <c r="D216" s="6"/>
      <c r="E216" s="6"/>
      <c r="F216" s="6"/>
    </row>
    <row r="217" spans="1:6" x14ac:dyDescent="0.4">
      <c r="A217" s="15"/>
      <c r="B217" s="15"/>
      <c r="C217" s="6"/>
      <c r="D217" s="6"/>
      <c r="E217" s="6"/>
      <c r="F217" s="6"/>
    </row>
    <row r="218" spans="1:6" x14ac:dyDescent="0.4">
      <c r="A218" s="15"/>
      <c r="B218" s="15"/>
      <c r="C218" s="6"/>
      <c r="D218" s="6"/>
      <c r="E218" s="6"/>
      <c r="F218" s="6"/>
    </row>
    <row r="219" spans="1:6" x14ac:dyDescent="0.4">
      <c r="A219" s="15"/>
      <c r="B219" s="15"/>
      <c r="C219" s="6"/>
      <c r="D219" s="6"/>
      <c r="E219" s="6"/>
      <c r="F219" s="6"/>
    </row>
    <row r="220" spans="1:6" x14ac:dyDescent="0.4">
      <c r="A220" s="15"/>
      <c r="B220" s="15"/>
      <c r="C220" s="6"/>
      <c r="D220" s="6"/>
      <c r="E220" s="6"/>
      <c r="F220" s="6"/>
    </row>
    <row r="221" spans="1:6" x14ac:dyDescent="0.4">
      <c r="A221" s="15"/>
      <c r="B221" s="15"/>
      <c r="C221" s="6"/>
      <c r="D221" s="6"/>
      <c r="E221" s="6"/>
      <c r="F221" s="6"/>
    </row>
    <row r="222" spans="1:6" x14ac:dyDescent="0.4">
      <c r="A222" s="15"/>
      <c r="B222" s="15"/>
      <c r="C222" s="6"/>
      <c r="D222" s="6"/>
      <c r="E222" s="6"/>
      <c r="F222" s="6"/>
    </row>
    <row r="223" spans="1:6" x14ac:dyDescent="0.4">
      <c r="A223" s="15"/>
      <c r="B223" s="15"/>
      <c r="C223" s="6"/>
      <c r="D223" s="6"/>
      <c r="E223" s="6"/>
      <c r="F223" s="6"/>
    </row>
    <row r="224" spans="1:6" x14ac:dyDescent="0.4">
      <c r="A224" s="15"/>
      <c r="B224" s="15"/>
      <c r="C224" s="6"/>
      <c r="D224" s="6"/>
      <c r="E224" s="6"/>
      <c r="F224" s="6"/>
    </row>
    <row r="225" spans="1:6" x14ac:dyDescent="0.4">
      <c r="A225" s="15"/>
      <c r="B225" s="15"/>
      <c r="C225" s="6"/>
      <c r="D225" s="6"/>
      <c r="E225" s="6"/>
      <c r="F225" s="6"/>
    </row>
    <row r="226" spans="1:6" x14ac:dyDescent="0.4">
      <c r="A226" s="15"/>
      <c r="B226" s="15"/>
      <c r="C226" s="6"/>
      <c r="D226" s="6"/>
      <c r="E226" s="6"/>
      <c r="F226" s="6"/>
    </row>
    <row r="227" spans="1:6" x14ac:dyDescent="0.4">
      <c r="A227" s="15"/>
      <c r="B227" s="15"/>
      <c r="C227" s="6"/>
      <c r="D227" s="6"/>
      <c r="E227" s="6"/>
      <c r="F227" s="6"/>
    </row>
    <row r="228" spans="1:6" x14ac:dyDescent="0.4">
      <c r="A228" s="15"/>
      <c r="B228" s="15"/>
      <c r="C228" s="6"/>
      <c r="D228" s="6"/>
      <c r="E228" s="6"/>
      <c r="F228" s="6"/>
    </row>
    <row r="229" spans="1:6" x14ac:dyDescent="0.4">
      <c r="A229" s="15"/>
      <c r="B229" s="15"/>
      <c r="C229" s="6"/>
      <c r="D229" s="6"/>
      <c r="E229" s="6"/>
      <c r="F229" s="6"/>
    </row>
    <row r="230" spans="1:6" x14ac:dyDescent="0.4">
      <c r="A230" s="15"/>
      <c r="B230" s="15"/>
      <c r="C230" s="6"/>
      <c r="D230" s="6"/>
      <c r="E230" s="6"/>
      <c r="F230" s="6"/>
    </row>
    <row r="231" spans="1:6" x14ac:dyDescent="0.4">
      <c r="A231" s="15"/>
      <c r="B231" s="15"/>
      <c r="C231" s="6"/>
      <c r="D231" s="6"/>
      <c r="E231" s="6"/>
      <c r="F231" s="6"/>
    </row>
    <row r="232" spans="1:6" x14ac:dyDescent="0.4">
      <c r="A232" s="15"/>
      <c r="B232" s="15"/>
      <c r="C232" s="6"/>
      <c r="D232" s="6"/>
      <c r="E232" s="6"/>
      <c r="F232" s="6"/>
    </row>
    <row r="233" spans="1:6" x14ac:dyDescent="0.4">
      <c r="A233" s="15"/>
      <c r="B233" s="15"/>
      <c r="C233" s="6"/>
      <c r="D233" s="6"/>
      <c r="E233" s="6"/>
      <c r="F233" s="6"/>
    </row>
    <row r="234" spans="1:6" x14ac:dyDescent="0.4">
      <c r="A234" s="15"/>
      <c r="B234" s="15"/>
      <c r="C234" s="6"/>
      <c r="D234" s="6"/>
      <c r="E234" s="6"/>
      <c r="F234" s="6"/>
    </row>
    <row r="235" spans="1:6" x14ac:dyDescent="0.4">
      <c r="A235" s="15"/>
      <c r="B235" s="15"/>
      <c r="C235" s="6"/>
      <c r="D235" s="6"/>
      <c r="E235" s="6"/>
      <c r="F235" s="6"/>
    </row>
    <row r="236" spans="1:6" x14ac:dyDescent="0.4">
      <c r="A236" s="15"/>
      <c r="B236" s="15"/>
      <c r="C236" s="6"/>
      <c r="D236" s="6"/>
      <c r="E236" s="6"/>
      <c r="F236" s="6"/>
    </row>
    <row r="237" spans="1:6" x14ac:dyDescent="0.4">
      <c r="A237" s="15"/>
      <c r="B237" s="15"/>
      <c r="C237" s="6"/>
      <c r="D237" s="6"/>
      <c r="E237" s="6"/>
      <c r="F237" s="6"/>
    </row>
    <row r="238" spans="1:6" x14ac:dyDescent="0.4">
      <c r="A238" s="15"/>
      <c r="B238" s="15"/>
      <c r="C238" s="6"/>
      <c r="D238" s="6"/>
      <c r="E238" s="6"/>
      <c r="F238" s="6"/>
    </row>
    <row r="239" spans="1:6" x14ac:dyDescent="0.4">
      <c r="A239" s="15"/>
      <c r="B239" s="15"/>
      <c r="C239" s="6"/>
      <c r="D239" s="6"/>
      <c r="E239" s="6"/>
      <c r="F239" s="6"/>
    </row>
    <row r="240" spans="1:6" x14ac:dyDescent="0.4">
      <c r="A240" s="15"/>
      <c r="B240" s="15"/>
      <c r="C240" s="6"/>
      <c r="D240" s="6"/>
      <c r="E240" s="6"/>
      <c r="F240" s="6"/>
    </row>
    <row r="241" spans="1:6" x14ac:dyDescent="0.4">
      <c r="A241" s="15"/>
      <c r="B241" s="15"/>
      <c r="C241" s="6"/>
      <c r="D241" s="6"/>
      <c r="E241" s="6"/>
      <c r="F241" s="6"/>
    </row>
    <row r="242" spans="1:6" x14ac:dyDescent="0.4">
      <c r="A242" s="15"/>
      <c r="B242" s="15"/>
      <c r="C242" s="6"/>
      <c r="D242" s="6"/>
      <c r="E242" s="6"/>
      <c r="F242" s="6"/>
    </row>
    <row r="243" spans="1:6" x14ac:dyDescent="0.4">
      <c r="A243" s="15"/>
      <c r="B243" s="15"/>
      <c r="C243" s="6"/>
      <c r="D243" s="6"/>
      <c r="E243" s="6"/>
      <c r="F243" s="6"/>
    </row>
    <row r="244" spans="1:6" x14ac:dyDescent="0.4">
      <c r="A244" s="15"/>
      <c r="B244" s="15"/>
      <c r="C244" s="6"/>
      <c r="D244" s="6"/>
      <c r="E244" s="6"/>
      <c r="F244" s="6"/>
    </row>
    <row r="245" spans="1:6" x14ac:dyDescent="0.4">
      <c r="A245" s="15"/>
      <c r="B245" s="15"/>
      <c r="C245" s="6"/>
      <c r="D245" s="6"/>
      <c r="E245" s="6"/>
      <c r="F245" s="6"/>
    </row>
    <row r="246" spans="1:6" x14ac:dyDescent="0.4">
      <c r="A246" s="15"/>
      <c r="B246" s="15"/>
      <c r="C246" s="6"/>
      <c r="D246" s="6"/>
      <c r="E246" s="6"/>
      <c r="F246" s="6"/>
    </row>
    <row r="247" spans="1:6" x14ac:dyDescent="0.4">
      <c r="A247" s="15"/>
      <c r="B247" s="15"/>
      <c r="C247" s="6"/>
      <c r="D247" s="6"/>
      <c r="E247" s="6"/>
      <c r="F247" s="6"/>
    </row>
    <row r="248" spans="1:6" x14ac:dyDescent="0.4">
      <c r="A248" s="15"/>
      <c r="B248" s="15"/>
      <c r="C248" s="6"/>
      <c r="D248" s="6"/>
      <c r="E248" s="6"/>
      <c r="F248" s="6"/>
    </row>
    <row r="249" spans="1:6" x14ac:dyDescent="0.4">
      <c r="A249" s="15"/>
      <c r="B249" s="15"/>
      <c r="C249" s="6"/>
      <c r="D249" s="6"/>
      <c r="E249" s="6"/>
      <c r="F249" s="6"/>
    </row>
    <row r="250" spans="1:6" x14ac:dyDescent="0.4">
      <c r="A250" s="15"/>
      <c r="B250" s="15"/>
      <c r="C250" s="6"/>
      <c r="D250" s="6"/>
      <c r="E250" s="6"/>
      <c r="F250" s="6"/>
    </row>
    <row r="251" spans="1:6" x14ac:dyDescent="0.4">
      <c r="A251" s="15"/>
      <c r="B251" s="15"/>
      <c r="C251" s="6"/>
      <c r="D251" s="6"/>
      <c r="E251" s="6"/>
      <c r="F251" s="6"/>
    </row>
    <row r="252" spans="1:6" x14ac:dyDescent="0.4">
      <c r="A252" s="15"/>
      <c r="B252" s="15"/>
      <c r="C252" s="6"/>
      <c r="D252" s="6"/>
      <c r="E252" s="6"/>
      <c r="F252" s="6"/>
    </row>
    <row r="253" spans="1:6" x14ac:dyDescent="0.4">
      <c r="A253" s="15"/>
      <c r="B253" s="15"/>
      <c r="C253" s="6"/>
      <c r="D253" s="6"/>
      <c r="E253" s="6"/>
      <c r="F253" s="6"/>
    </row>
    <row r="254" spans="1:6" x14ac:dyDescent="0.4">
      <c r="A254" s="15"/>
      <c r="B254" s="15"/>
      <c r="C254" s="6"/>
      <c r="D254" s="6"/>
      <c r="E254" s="6"/>
      <c r="F254" s="6"/>
    </row>
    <row r="255" spans="1:6" x14ac:dyDescent="0.4">
      <c r="A255" s="15"/>
      <c r="B255" s="15"/>
      <c r="C255" s="6"/>
      <c r="D255" s="6"/>
      <c r="E255" s="6"/>
      <c r="F255" s="6"/>
    </row>
    <row r="256" spans="1:6" x14ac:dyDescent="0.4">
      <c r="A256" s="15"/>
      <c r="B256" s="15"/>
      <c r="C256" s="6"/>
      <c r="D256" s="6"/>
      <c r="E256" s="6"/>
      <c r="F256" s="6"/>
    </row>
    <row r="257" spans="1:6" x14ac:dyDescent="0.4">
      <c r="A257" s="15"/>
      <c r="B257" s="15"/>
      <c r="C257" s="6"/>
      <c r="D257" s="6"/>
      <c r="E257" s="6"/>
      <c r="F257" s="6"/>
    </row>
    <row r="258" spans="1:6" x14ac:dyDescent="0.4">
      <c r="A258" s="15"/>
      <c r="B258" s="15"/>
      <c r="C258" s="6"/>
      <c r="D258" s="6"/>
      <c r="E258" s="6"/>
      <c r="F258" s="6"/>
    </row>
    <row r="259" spans="1:6" x14ac:dyDescent="0.4">
      <c r="A259" s="15"/>
      <c r="B259" s="15"/>
      <c r="C259" s="6"/>
      <c r="D259" s="6"/>
      <c r="E259" s="6"/>
      <c r="F259" s="6"/>
    </row>
    <row r="260" spans="1:6" x14ac:dyDescent="0.4">
      <c r="A260" s="15"/>
      <c r="B260" s="15"/>
      <c r="C260" s="6"/>
      <c r="D260" s="6"/>
      <c r="E260" s="6"/>
      <c r="F260" s="6"/>
    </row>
    <row r="261" spans="1:6" x14ac:dyDescent="0.4">
      <c r="A261" s="15"/>
      <c r="B261" s="15"/>
      <c r="C261" s="6"/>
      <c r="D261" s="6"/>
      <c r="E261" s="6"/>
      <c r="F261" s="6"/>
    </row>
    <row r="262" spans="1:6" x14ac:dyDescent="0.4">
      <c r="A262" s="15"/>
      <c r="B262" s="15"/>
      <c r="C262" s="6"/>
      <c r="D262" s="6"/>
      <c r="E262" s="6"/>
      <c r="F262" s="6"/>
    </row>
  </sheetData>
  <autoFilter ref="A4:F56" xr:uid="{E578F604-3D14-AF4C-8BFE-10AE066746F5}"/>
  <sortState xmlns:xlrd2="http://schemas.microsoft.com/office/spreadsheetml/2017/richdata2" ref="A5:B56">
    <sortCondition ref="A5:A56"/>
    <sortCondition ref="B5:B5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EDDDB-86A4-134F-81C6-B8AD155D2F44}">
  <sheetPr codeName="Sheet2">
    <tabColor rgb="FFC00000"/>
  </sheetPr>
  <dimension ref="B1:AI59"/>
  <sheetViews>
    <sheetView showGridLines="0" tabSelected="1" zoomScale="115" workbookViewId="0">
      <pane xSplit="3" ySplit="2" topLeftCell="AD3" activePane="bottomRight" state="frozen"/>
      <selection pane="topRight" activeCell="D1" sqref="D1"/>
      <selection pane="bottomLeft" activeCell="A3" sqref="A3"/>
      <selection pane="bottomRight" activeCell="AE9" sqref="AE9"/>
    </sheetView>
  </sheetViews>
  <sheetFormatPr defaultColWidth="10.8125" defaultRowHeight="15.4" x14ac:dyDescent="0.4"/>
  <cols>
    <col min="1" max="1" width="10.8125" style="1"/>
    <col min="2" max="2" width="16.8125" style="1" customWidth="1"/>
    <col min="3" max="3" width="31.8125" style="1" customWidth="1"/>
    <col min="4" max="35" width="19" style="1" customWidth="1"/>
    <col min="36" max="16384" width="10.8125" style="1"/>
  </cols>
  <sheetData>
    <row r="1" spans="2:35" x14ac:dyDescent="0.4">
      <c r="B1" s="1">
        <v>100</v>
      </c>
    </row>
    <row r="2" spans="2:35" s="2" customFormat="1" ht="99.75" x14ac:dyDescent="0.4">
      <c r="B2" s="3" t="s">
        <v>3</v>
      </c>
      <c r="C2" s="3" t="s">
        <v>4</v>
      </c>
      <c r="D2" s="64" t="s">
        <v>230</v>
      </c>
      <c r="E2" s="64" t="s">
        <v>255</v>
      </c>
      <c r="F2" s="64" t="s">
        <v>117</v>
      </c>
      <c r="G2" s="64" t="s">
        <v>231</v>
      </c>
      <c r="H2" s="64" t="s">
        <v>261</v>
      </c>
      <c r="I2" s="64" t="s">
        <v>232</v>
      </c>
      <c r="J2" s="64" t="s">
        <v>124</v>
      </c>
      <c r="K2" s="64" t="s">
        <v>233</v>
      </c>
      <c r="L2" s="64" t="s">
        <v>259</v>
      </c>
      <c r="M2" s="64" t="s">
        <v>234</v>
      </c>
      <c r="N2" s="64" t="s">
        <v>235</v>
      </c>
      <c r="O2" s="64" t="s">
        <v>260</v>
      </c>
      <c r="P2" s="64" t="s">
        <v>167</v>
      </c>
      <c r="Q2" s="64" t="s">
        <v>168</v>
      </c>
      <c r="R2" s="64" t="s">
        <v>170</v>
      </c>
      <c r="S2" s="63" t="s">
        <v>66</v>
      </c>
      <c r="T2" s="63" t="s">
        <v>78</v>
      </c>
      <c r="U2" s="63" t="s">
        <v>92</v>
      </c>
      <c r="V2" s="63" t="s">
        <v>99</v>
      </c>
      <c r="W2" s="63" t="s">
        <v>102</v>
      </c>
      <c r="X2" s="63" t="s">
        <v>267</v>
      </c>
      <c r="Y2" s="63" t="s">
        <v>268</v>
      </c>
      <c r="Z2" s="63" t="s">
        <v>269</v>
      </c>
      <c r="AA2" s="63" t="s">
        <v>377</v>
      </c>
      <c r="AB2" s="63" t="s">
        <v>378</v>
      </c>
      <c r="AC2" s="63" t="s">
        <v>379</v>
      </c>
      <c r="AD2" s="3" t="s">
        <v>164</v>
      </c>
      <c r="AE2" s="3" t="s">
        <v>187</v>
      </c>
      <c r="AF2" s="3" t="s">
        <v>253</v>
      </c>
      <c r="AG2" s="3" t="s">
        <v>254</v>
      </c>
      <c r="AH2" s="3" t="s">
        <v>249</v>
      </c>
      <c r="AI2" s="3" t="s">
        <v>246</v>
      </c>
    </row>
    <row r="3" spans="2:35" s="2" customFormat="1" x14ac:dyDescent="0.4">
      <c r="B3" s="3" t="s">
        <v>39</v>
      </c>
      <c r="C3" s="3" t="s">
        <v>38</v>
      </c>
      <c r="D3" s="3" t="s">
        <v>175</v>
      </c>
      <c r="E3" s="3" t="s">
        <v>176</v>
      </c>
      <c r="F3" s="3" t="s">
        <v>179</v>
      </c>
      <c r="G3" s="3" t="s">
        <v>180</v>
      </c>
      <c r="H3" s="3" t="s">
        <v>256</v>
      </c>
      <c r="I3" s="3" t="s">
        <v>181</v>
      </c>
      <c r="J3" s="3" t="s">
        <v>182</v>
      </c>
      <c r="K3" s="3" t="s">
        <v>190</v>
      </c>
      <c r="L3" s="3" t="s">
        <v>257</v>
      </c>
      <c r="M3" s="3" t="s">
        <v>191</v>
      </c>
      <c r="N3" s="3" t="s">
        <v>192</v>
      </c>
      <c r="O3" s="3" t="s">
        <v>258</v>
      </c>
      <c r="P3" s="3" t="s">
        <v>196</v>
      </c>
      <c r="Q3" s="3" t="s">
        <v>197</v>
      </c>
      <c r="R3" s="3" t="s">
        <v>198</v>
      </c>
      <c r="S3" s="36" t="s">
        <v>48</v>
      </c>
      <c r="T3" s="36" t="s">
        <v>49</v>
      </c>
      <c r="U3" s="36" t="s">
        <v>174</v>
      </c>
      <c r="V3" s="36" t="s">
        <v>50</v>
      </c>
      <c r="W3" s="36" t="s">
        <v>51</v>
      </c>
      <c r="X3" s="36" t="s">
        <v>217</v>
      </c>
      <c r="Y3" s="36" t="s">
        <v>218</v>
      </c>
      <c r="Z3" s="36" t="s">
        <v>220</v>
      </c>
      <c r="AA3" s="36" t="s">
        <v>380</v>
      </c>
      <c r="AB3" s="36" t="s">
        <v>381</v>
      </c>
      <c r="AC3" s="36" t="s">
        <v>382</v>
      </c>
      <c r="AD3" s="3" t="s">
        <v>7</v>
      </c>
      <c r="AE3" s="3" t="s">
        <v>8</v>
      </c>
      <c r="AF3" s="3" t="s">
        <v>200</v>
      </c>
      <c r="AG3" s="3" t="s">
        <v>201</v>
      </c>
      <c r="AH3" s="3" t="s">
        <v>248</v>
      </c>
      <c r="AI3" s="3" t="s">
        <v>247</v>
      </c>
    </row>
    <row r="4" spans="2:35" x14ac:dyDescent="0.4">
      <c r="B4" s="4" t="str">
        <f>Population_Input!A5</f>
        <v>Arnor</v>
      </c>
      <c r="C4" s="4" t="str">
        <f>Population_Input!B5</f>
        <v>Arthedain</v>
      </c>
      <c r="D4" s="67">
        <v>64</v>
      </c>
      <c r="E4" s="7">
        <v>0.15</v>
      </c>
      <c r="F4" s="5">
        <v>5</v>
      </c>
      <c r="G4" s="5">
        <v>10</v>
      </c>
      <c r="H4" s="4">
        <f t="shared" ref="H4:H59" si="0">IF(G4="","",ROUND(G4/(INDEX(Population,MATCH($C4,Pop_Admin2,0))/INDEX(PiN_Per,MATCH(H$3,PiN_Code,0))),2))</f>
        <v>0.04</v>
      </c>
      <c r="I4" s="5">
        <v>179</v>
      </c>
      <c r="J4" s="7">
        <v>0.45</v>
      </c>
      <c r="K4" s="5">
        <v>2</v>
      </c>
      <c r="L4" s="4">
        <f t="shared" ref="L4:L59" si="1">IF(K4="","",ROUND(K4/(INDEX(Population,MATCH($C4,Pop_Admin2,0))/INDEX(PiN_Per,MATCH(L$3,PiN_Code,0))),2))</f>
        <v>0.39</v>
      </c>
      <c r="M4" s="5">
        <v>1</v>
      </c>
      <c r="N4" s="5">
        <v>547</v>
      </c>
      <c r="O4" s="4">
        <f t="shared" ref="O4:O59" si="2">IF(N4="","",ROUND(N4/(INDEX(Population,MATCH($C4,Pop_Admin2,0))/INDEX(PiN_Per,MATCH(O$3,PiN_Code,0))),2))</f>
        <v>2.16</v>
      </c>
      <c r="P4" s="7">
        <v>0.74</v>
      </c>
      <c r="Q4" s="5"/>
      <c r="R4" s="5"/>
      <c r="S4" s="69">
        <v>0.16</v>
      </c>
      <c r="T4" s="69">
        <v>0.65</v>
      </c>
      <c r="U4" s="5">
        <v>2</v>
      </c>
      <c r="V4" s="5"/>
      <c r="W4" s="5"/>
      <c r="X4" s="7">
        <v>0.64</v>
      </c>
      <c r="Y4" s="7">
        <v>0.99</v>
      </c>
      <c r="Z4" s="7">
        <v>0.78</v>
      </c>
      <c r="AA4" s="7"/>
      <c r="AB4" s="7"/>
      <c r="AC4" s="7"/>
      <c r="AD4" s="44"/>
      <c r="AE4" s="7">
        <v>0.75</v>
      </c>
      <c r="AF4" s="5">
        <v>330000</v>
      </c>
      <c r="AG4" s="5">
        <v>4</v>
      </c>
      <c r="AH4" s="5">
        <v>4000</v>
      </c>
      <c r="AI4" s="69">
        <v>0.15</v>
      </c>
    </row>
    <row r="5" spans="2:35" x14ac:dyDescent="0.4">
      <c r="B5" s="4" t="str">
        <f>Population_Input!A6</f>
        <v>Arnor</v>
      </c>
      <c r="C5" s="4" t="str">
        <f>Population_Input!B6</f>
        <v>Cardolan</v>
      </c>
      <c r="D5" s="68">
        <v>5</v>
      </c>
      <c r="E5" s="7">
        <v>0.55000000000000004</v>
      </c>
      <c r="F5" s="5">
        <v>21</v>
      </c>
      <c r="G5" s="5">
        <v>50</v>
      </c>
      <c r="H5" s="4">
        <f t="shared" si="0"/>
        <v>24.65</v>
      </c>
      <c r="I5" s="5">
        <v>160</v>
      </c>
      <c r="J5" s="7">
        <v>0.62</v>
      </c>
      <c r="K5" s="5">
        <v>2</v>
      </c>
      <c r="L5" s="4">
        <f t="shared" si="1"/>
        <v>49.29</v>
      </c>
      <c r="M5" s="5">
        <v>4</v>
      </c>
      <c r="N5" s="5">
        <v>480</v>
      </c>
      <c r="O5" s="4">
        <f t="shared" si="2"/>
        <v>236.6</v>
      </c>
      <c r="P5" s="7">
        <v>0.28000000000000003</v>
      </c>
      <c r="Q5" s="5"/>
      <c r="R5" s="5"/>
      <c r="S5" s="7">
        <v>0.1</v>
      </c>
      <c r="T5" s="7">
        <v>0.37</v>
      </c>
      <c r="U5" s="5">
        <v>25</v>
      </c>
      <c r="V5" s="5"/>
      <c r="W5" s="5"/>
      <c r="X5" s="7">
        <v>0.31</v>
      </c>
      <c r="Y5" s="7">
        <v>0.93</v>
      </c>
      <c r="Z5" s="7">
        <v>0.69</v>
      </c>
      <c r="AA5" s="7"/>
      <c r="AB5" s="7"/>
      <c r="AC5" s="7"/>
      <c r="AD5" s="44"/>
      <c r="AE5" s="7">
        <v>0.43</v>
      </c>
      <c r="AF5" s="5">
        <v>11091</v>
      </c>
      <c r="AG5" s="5">
        <v>4</v>
      </c>
      <c r="AH5" s="5">
        <v>1177</v>
      </c>
      <c r="AI5" s="7">
        <v>0.12387243062059447</v>
      </c>
    </row>
    <row r="6" spans="2:35" x14ac:dyDescent="0.4">
      <c r="B6" s="4" t="str">
        <f>Population_Input!A7</f>
        <v>Arnor</v>
      </c>
      <c r="C6" s="4" t="str">
        <f>Population_Input!B7</f>
        <v>Rhudaur</v>
      </c>
      <c r="D6" s="68">
        <v>13</v>
      </c>
      <c r="E6" s="7">
        <v>0.77</v>
      </c>
      <c r="F6" s="5">
        <v>15</v>
      </c>
      <c r="G6" s="5">
        <v>18</v>
      </c>
      <c r="H6" s="4">
        <f t="shared" si="0"/>
        <v>65.81</v>
      </c>
      <c r="I6" s="5">
        <v>185</v>
      </c>
      <c r="J6" s="7">
        <v>0.39</v>
      </c>
      <c r="K6" s="5">
        <v>0</v>
      </c>
      <c r="L6" s="4">
        <f t="shared" si="1"/>
        <v>0</v>
      </c>
      <c r="M6" s="5">
        <v>1</v>
      </c>
      <c r="N6" s="5">
        <v>514</v>
      </c>
      <c r="O6" s="4">
        <f t="shared" si="2"/>
        <v>1879.34</v>
      </c>
      <c r="P6" s="7">
        <v>0.18</v>
      </c>
      <c r="Q6" s="5"/>
      <c r="R6" s="5"/>
      <c r="S6" s="7">
        <v>0.19</v>
      </c>
      <c r="T6" s="7">
        <v>0.87</v>
      </c>
      <c r="U6" s="5">
        <v>27</v>
      </c>
      <c r="V6" s="5"/>
      <c r="W6" s="5"/>
      <c r="X6" s="7">
        <v>0.47</v>
      </c>
      <c r="Y6" s="7">
        <v>0.33</v>
      </c>
      <c r="Z6" s="7">
        <v>0.9</v>
      </c>
      <c r="AA6" s="7"/>
      <c r="AB6" s="7"/>
      <c r="AC6" s="7"/>
      <c r="AD6" s="44"/>
      <c r="AE6" s="7">
        <v>0.56999999999999995</v>
      </c>
      <c r="AF6" s="5">
        <v>806</v>
      </c>
      <c r="AG6" s="5">
        <v>1</v>
      </c>
      <c r="AH6" s="5">
        <v>311</v>
      </c>
      <c r="AI6" s="7">
        <v>0.12760511882998171</v>
      </c>
    </row>
    <row r="7" spans="2:35" x14ac:dyDescent="0.4">
      <c r="B7" s="4" t="str">
        <f>Population_Input!A8</f>
        <v>Beleriand</v>
      </c>
      <c r="C7" s="4" t="str">
        <f>Population_Input!B8</f>
        <v>East Beleriand</v>
      </c>
      <c r="D7" s="68">
        <v>4</v>
      </c>
      <c r="E7" s="7">
        <v>0.98</v>
      </c>
      <c r="F7" s="5">
        <v>30</v>
      </c>
      <c r="G7" s="5">
        <v>40</v>
      </c>
      <c r="H7" s="4">
        <f t="shared" si="0"/>
        <v>85.14</v>
      </c>
      <c r="I7" s="5">
        <v>127</v>
      </c>
      <c r="J7" s="7">
        <v>0.39</v>
      </c>
      <c r="K7" s="5">
        <v>2</v>
      </c>
      <c r="L7" s="4">
        <f t="shared" si="1"/>
        <v>212.86</v>
      </c>
      <c r="M7" s="5">
        <v>0</v>
      </c>
      <c r="N7" s="5">
        <v>333</v>
      </c>
      <c r="O7" s="4">
        <f t="shared" si="2"/>
        <v>708.81</v>
      </c>
      <c r="P7" s="7">
        <v>0.71</v>
      </c>
      <c r="Q7" s="5"/>
      <c r="R7" s="5"/>
      <c r="S7" s="7">
        <v>0.28999999999999998</v>
      </c>
      <c r="T7" s="7">
        <v>0.42</v>
      </c>
      <c r="U7" s="5">
        <v>24</v>
      </c>
      <c r="V7" s="5"/>
      <c r="W7" s="5"/>
      <c r="X7" s="7">
        <v>0.45</v>
      </c>
      <c r="Y7" s="7">
        <v>0.91</v>
      </c>
      <c r="Z7" s="7">
        <v>0.84</v>
      </c>
      <c r="AA7" s="7"/>
      <c r="AB7" s="7"/>
      <c r="AC7" s="7"/>
      <c r="AD7" s="44"/>
      <c r="AE7" s="7">
        <v>0.55000000000000004</v>
      </c>
      <c r="AF7" s="5">
        <v>3305</v>
      </c>
      <c r="AG7" s="5">
        <v>4</v>
      </c>
      <c r="AH7" s="5">
        <v>193</v>
      </c>
      <c r="AI7" s="7">
        <v>6.7688378033205626E-2</v>
      </c>
    </row>
    <row r="8" spans="2:35" x14ac:dyDescent="0.4">
      <c r="B8" s="4" t="str">
        <f>Population_Input!A9</f>
        <v>Beleriand</v>
      </c>
      <c r="C8" s="4" t="str">
        <f>Population_Input!B9</f>
        <v>West Beleriand</v>
      </c>
      <c r="D8" s="68">
        <v>31</v>
      </c>
      <c r="E8" s="7">
        <v>0.4</v>
      </c>
      <c r="F8" s="5">
        <v>6</v>
      </c>
      <c r="G8" s="5">
        <v>30</v>
      </c>
      <c r="H8" s="4">
        <f t="shared" si="0"/>
        <v>9.59</v>
      </c>
      <c r="I8" s="5">
        <v>138</v>
      </c>
      <c r="J8" s="7">
        <v>0.87</v>
      </c>
      <c r="K8" s="5">
        <v>3</v>
      </c>
      <c r="L8" s="4">
        <f t="shared" si="1"/>
        <v>47.95</v>
      </c>
      <c r="M8" s="5">
        <v>3</v>
      </c>
      <c r="N8" s="5">
        <v>83</v>
      </c>
      <c r="O8" s="4">
        <f t="shared" si="2"/>
        <v>26.53</v>
      </c>
      <c r="P8" s="7">
        <v>0.7</v>
      </c>
      <c r="Q8" s="5"/>
      <c r="R8" s="5"/>
      <c r="S8" s="7">
        <v>0.13</v>
      </c>
      <c r="T8" s="7">
        <v>0.72</v>
      </c>
      <c r="U8" s="5">
        <v>10</v>
      </c>
      <c r="V8" s="5"/>
      <c r="W8" s="5"/>
      <c r="X8" s="7">
        <v>0.39</v>
      </c>
      <c r="Y8" s="7">
        <v>0.79</v>
      </c>
      <c r="Z8" s="7">
        <v>0.17</v>
      </c>
      <c r="AA8" s="7"/>
      <c r="AB8" s="7"/>
      <c r="AC8" s="7"/>
      <c r="AD8" s="44"/>
      <c r="AE8" s="7">
        <v>0.94</v>
      </c>
      <c r="AF8" s="5">
        <v>21043</v>
      </c>
      <c r="AG8" s="5">
        <v>2</v>
      </c>
      <c r="AH8" s="5">
        <v>323</v>
      </c>
      <c r="AI8" s="7">
        <v>1.1507847712815267E-2</v>
      </c>
    </row>
    <row r="9" spans="2:35" x14ac:dyDescent="0.4">
      <c r="B9" s="4" t="str">
        <f>Population_Input!A10</f>
        <v>Endedwaith</v>
      </c>
      <c r="C9" s="4" t="str">
        <f>Population_Input!B10</f>
        <v>Dunland</v>
      </c>
      <c r="D9" s="68">
        <v>18</v>
      </c>
      <c r="E9" s="7">
        <v>0.71</v>
      </c>
      <c r="F9" s="5">
        <v>28</v>
      </c>
      <c r="G9" s="5">
        <v>73</v>
      </c>
      <c r="H9" s="4">
        <f t="shared" si="0"/>
        <v>26.97</v>
      </c>
      <c r="I9" s="5">
        <v>161</v>
      </c>
      <c r="J9" s="7">
        <v>0.38</v>
      </c>
      <c r="K9" s="5">
        <v>0</v>
      </c>
      <c r="L9" s="4">
        <f t="shared" si="1"/>
        <v>0</v>
      </c>
      <c r="M9" s="5">
        <v>4</v>
      </c>
      <c r="N9" s="5">
        <v>285</v>
      </c>
      <c r="O9" s="4">
        <f t="shared" si="2"/>
        <v>105.28</v>
      </c>
      <c r="P9" s="7">
        <v>0.42</v>
      </c>
      <c r="Q9" s="5"/>
      <c r="R9" s="5"/>
      <c r="S9" s="7">
        <v>0.15</v>
      </c>
      <c r="T9" s="7">
        <v>0.69</v>
      </c>
      <c r="U9" s="5">
        <v>11</v>
      </c>
      <c r="V9" s="5"/>
      <c r="W9" s="5"/>
      <c r="X9" s="7">
        <v>0.13</v>
      </c>
      <c r="Y9" s="7">
        <v>0.44</v>
      </c>
      <c r="Z9" s="7">
        <v>0.78</v>
      </c>
      <c r="AA9" s="7"/>
      <c r="AB9" s="7"/>
      <c r="AC9" s="7"/>
      <c r="AD9" s="44"/>
      <c r="AE9" s="7">
        <v>0.64</v>
      </c>
      <c r="AF9" s="5">
        <v>8486</v>
      </c>
      <c r="AG9" s="5">
        <v>1</v>
      </c>
      <c r="AH9" s="5">
        <v>428</v>
      </c>
      <c r="AI9" s="7">
        <v>0.13549554874219644</v>
      </c>
    </row>
    <row r="10" spans="2:35" x14ac:dyDescent="0.4">
      <c r="B10" s="4" t="str">
        <f>Population_Input!A11</f>
        <v>Eriador</v>
      </c>
      <c r="C10" s="4" t="str">
        <f>Population_Input!B11</f>
        <v>Angmar</v>
      </c>
      <c r="D10" s="68">
        <v>21</v>
      </c>
      <c r="E10" s="7">
        <v>0.62</v>
      </c>
      <c r="F10" s="5">
        <v>5</v>
      </c>
      <c r="G10" s="5">
        <v>22</v>
      </c>
      <c r="H10" s="4">
        <f t="shared" si="0"/>
        <v>4.9800000000000004</v>
      </c>
      <c r="I10" s="5">
        <v>221</v>
      </c>
      <c r="J10" s="7">
        <v>0.69</v>
      </c>
      <c r="K10" s="5">
        <v>2</v>
      </c>
      <c r="L10" s="4">
        <f t="shared" si="1"/>
        <v>22.62</v>
      </c>
      <c r="M10" s="5">
        <v>2</v>
      </c>
      <c r="N10" s="5">
        <v>75</v>
      </c>
      <c r="O10" s="4">
        <f t="shared" si="2"/>
        <v>16.97</v>
      </c>
      <c r="P10" s="7">
        <v>0.7</v>
      </c>
      <c r="Q10" s="5"/>
      <c r="R10" s="5"/>
      <c r="S10" s="7">
        <v>0.23</v>
      </c>
      <c r="T10" s="7">
        <v>0.81</v>
      </c>
      <c r="U10" s="5">
        <v>25</v>
      </c>
      <c r="V10" s="5"/>
      <c r="W10" s="5"/>
      <c r="X10" s="7">
        <v>0.6</v>
      </c>
      <c r="Y10" s="7">
        <v>0.16</v>
      </c>
      <c r="Z10" s="7">
        <v>0.56999999999999995</v>
      </c>
      <c r="AA10" s="7"/>
      <c r="AB10" s="7"/>
      <c r="AC10" s="7"/>
      <c r="AD10" s="44"/>
      <c r="AE10" s="7">
        <v>0.62</v>
      </c>
      <c r="AF10" s="5">
        <v>7021</v>
      </c>
      <c r="AG10" s="5">
        <v>3</v>
      </c>
      <c r="AH10" s="5">
        <v>3348</v>
      </c>
      <c r="AI10" s="7">
        <v>9.3893527002873373E-2</v>
      </c>
    </row>
    <row r="11" spans="2:35" x14ac:dyDescent="0.4">
      <c r="B11" s="4" t="str">
        <f>Population_Input!A12</f>
        <v>Eriador</v>
      </c>
      <c r="C11" s="4" t="str">
        <f>Population_Input!B12</f>
        <v>Arnor</v>
      </c>
      <c r="D11" s="68">
        <v>27</v>
      </c>
      <c r="E11" s="7">
        <v>0.68</v>
      </c>
      <c r="F11" s="5">
        <v>10</v>
      </c>
      <c r="G11" s="5">
        <v>41</v>
      </c>
      <c r="H11" s="4">
        <f t="shared" si="0"/>
        <v>70.19</v>
      </c>
      <c r="I11" s="5">
        <v>37</v>
      </c>
      <c r="J11" s="7">
        <v>0.38</v>
      </c>
      <c r="K11" s="5">
        <v>2</v>
      </c>
      <c r="L11" s="4">
        <f t="shared" si="1"/>
        <v>171.2</v>
      </c>
      <c r="M11" s="5">
        <v>1</v>
      </c>
      <c r="N11" s="5">
        <v>16</v>
      </c>
      <c r="O11" s="4">
        <f t="shared" si="2"/>
        <v>27.39</v>
      </c>
      <c r="P11" s="7">
        <v>0.06</v>
      </c>
      <c r="Q11" s="5"/>
      <c r="R11" s="5"/>
      <c r="S11" s="7">
        <v>0.28000000000000003</v>
      </c>
      <c r="T11" s="7">
        <v>0.48</v>
      </c>
      <c r="U11" s="5">
        <v>27</v>
      </c>
      <c r="V11" s="5"/>
      <c r="W11" s="5"/>
      <c r="X11" s="7">
        <v>0.06</v>
      </c>
      <c r="Y11" s="7">
        <v>0.76</v>
      </c>
      <c r="Z11" s="7">
        <v>0.3</v>
      </c>
      <c r="AA11" s="7"/>
      <c r="AB11" s="7"/>
      <c r="AC11" s="7"/>
      <c r="AD11" s="44"/>
      <c r="AE11" s="7">
        <v>0.46</v>
      </c>
      <c r="AF11" s="5">
        <v>1777</v>
      </c>
      <c r="AG11" s="5">
        <v>3</v>
      </c>
      <c r="AH11" s="5">
        <v>359</v>
      </c>
      <c r="AI11" s="7">
        <v>0.12429378531073447</v>
      </c>
    </row>
    <row r="12" spans="2:35" x14ac:dyDescent="0.4">
      <c r="B12" s="4" t="str">
        <f>Population_Input!A13</f>
        <v>Eriador</v>
      </c>
      <c r="C12" s="4" t="str">
        <f>Population_Input!B13</f>
        <v>Arthedain</v>
      </c>
      <c r="D12" s="68">
        <v>19</v>
      </c>
      <c r="E12" s="7">
        <v>0.13</v>
      </c>
      <c r="F12" s="5">
        <v>29</v>
      </c>
      <c r="G12" s="5">
        <v>10</v>
      </c>
      <c r="H12" s="4">
        <f t="shared" si="0"/>
        <v>0.04</v>
      </c>
      <c r="I12" s="5">
        <v>104</v>
      </c>
      <c r="J12" s="7">
        <v>0.64</v>
      </c>
      <c r="K12" s="5">
        <v>2</v>
      </c>
      <c r="L12" s="4">
        <f t="shared" si="1"/>
        <v>0.39</v>
      </c>
      <c r="M12" s="5">
        <v>2</v>
      </c>
      <c r="N12" s="5">
        <v>642</v>
      </c>
      <c r="O12" s="4">
        <f t="shared" si="2"/>
        <v>2.5299999999999998</v>
      </c>
      <c r="P12" s="7">
        <v>0.42</v>
      </c>
      <c r="Q12" s="5"/>
      <c r="R12" s="5"/>
      <c r="S12" s="7">
        <v>0.21</v>
      </c>
      <c r="T12" s="7">
        <v>0.79</v>
      </c>
      <c r="U12" s="5">
        <v>17</v>
      </c>
      <c r="V12" s="5"/>
      <c r="W12" s="5"/>
      <c r="X12" s="7">
        <v>0.28999999999999998</v>
      </c>
      <c r="Y12" s="7">
        <v>0.48</v>
      </c>
      <c r="Z12" s="7">
        <v>0.08</v>
      </c>
      <c r="AA12" s="7"/>
      <c r="AB12" s="7"/>
      <c r="AC12" s="7"/>
      <c r="AD12" s="44"/>
      <c r="AE12" s="7">
        <v>0.6</v>
      </c>
      <c r="AF12" s="5">
        <v>1579174</v>
      </c>
      <c r="AG12" s="5">
        <v>5</v>
      </c>
      <c r="AH12" s="5">
        <v>147765</v>
      </c>
      <c r="AI12" s="7">
        <v>8.4000151573522627E-2</v>
      </c>
    </row>
    <row r="13" spans="2:35" x14ac:dyDescent="0.4">
      <c r="B13" s="4" t="str">
        <f>Population_Input!A14</f>
        <v>Eriador</v>
      </c>
      <c r="C13" s="4" t="str">
        <f>Population_Input!B14</f>
        <v>Cardolan</v>
      </c>
      <c r="D13" s="68">
        <v>19</v>
      </c>
      <c r="E13" s="7">
        <v>0.93</v>
      </c>
      <c r="F13" s="5">
        <v>27</v>
      </c>
      <c r="G13" s="5">
        <v>59</v>
      </c>
      <c r="H13" s="4">
        <f t="shared" si="0"/>
        <v>29.08</v>
      </c>
      <c r="I13" s="5">
        <v>148</v>
      </c>
      <c r="J13" s="7">
        <v>0.41</v>
      </c>
      <c r="K13" s="5">
        <v>1</v>
      </c>
      <c r="L13" s="4">
        <f t="shared" si="1"/>
        <v>24.65</v>
      </c>
      <c r="M13" s="5">
        <v>3</v>
      </c>
      <c r="N13" s="5">
        <v>533</v>
      </c>
      <c r="O13" s="4">
        <f t="shared" si="2"/>
        <v>262.73</v>
      </c>
      <c r="P13" s="7">
        <v>0.61</v>
      </c>
      <c r="Q13" s="5"/>
      <c r="R13" s="5"/>
      <c r="S13" s="7">
        <v>0.24</v>
      </c>
      <c r="T13" s="7">
        <v>0.51</v>
      </c>
      <c r="U13" s="5">
        <v>8</v>
      </c>
      <c r="V13" s="5"/>
      <c r="W13" s="5"/>
      <c r="X13" s="7">
        <v>0.76</v>
      </c>
      <c r="Y13" s="7">
        <v>0.5</v>
      </c>
      <c r="Z13" s="7">
        <v>0.59</v>
      </c>
      <c r="AA13" s="7"/>
      <c r="AB13" s="7"/>
      <c r="AC13" s="7"/>
      <c r="AD13" s="44"/>
      <c r="AE13" s="7">
        <v>0.52</v>
      </c>
      <c r="AF13" s="5">
        <v>6277</v>
      </c>
      <c r="AG13" s="5">
        <v>1</v>
      </c>
      <c r="AH13" s="5">
        <v>660</v>
      </c>
      <c r="AI13" s="7">
        <v>8.6557894217972095E-2</v>
      </c>
    </row>
    <row r="14" spans="2:35" x14ac:dyDescent="0.4">
      <c r="B14" s="4" t="str">
        <f>Population_Input!A15</f>
        <v>Eriador</v>
      </c>
      <c r="C14" s="4" t="str">
        <f>Population_Input!B15</f>
        <v>Eregion</v>
      </c>
      <c r="D14" s="68">
        <v>7</v>
      </c>
      <c r="E14" s="7">
        <v>0.68</v>
      </c>
      <c r="F14" s="5">
        <v>2</v>
      </c>
      <c r="G14" s="5">
        <v>34</v>
      </c>
      <c r="H14" s="4">
        <f t="shared" si="0"/>
        <v>12.59</v>
      </c>
      <c r="I14" s="5">
        <v>47</v>
      </c>
      <c r="J14" s="7">
        <v>0.98</v>
      </c>
      <c r="K14" s="5">
        <v>4</v>
      </c>
      <c r="L14" s="4">
        <f t="shared" si="1"/>
        <v>74.069999999999993</v>
      </c>
      <c r="M14" s="5">
        <v>4</v>
      </c>
      <c r="N14" s="5">
        <v>288</v>
      </c>
      <c r="O14" s="4">
        <f t="shared" si="2"/>
        <v>106.66</v>
      </c>
      <c r="P14" s="7">
        <v>0.28999999999999998</v>
      </c>
      <c r="Q14" s="5"/>
      <c r="R14" s="5"/>
      <c r="S14" s="7">
        <v>0.28000000000000003</v>
      </c>
      <c r="T14" s="7">
        <v>0.19</v>
      </c>
      <c r="U14" s="5">
        <v>22</v>
      </c>
      <c r="V14" s="5"/>
      <c r="W14" s="5"/>
      <c r="X14" s="7">
        <v>0.09</v>
      </c>
      <c r="Y14" s="7">
        <v>7.0000000000000007E-2</v>
      </c>
      <c r="Z14" s="7">
        <v>0.52</v>
      </c>
      <c r="AA14" s="7"/>
      <c r="AB14" s="7"/>
      <c r="AC14" s="7"/>
      <c r="AD14" s="44"/>
      <c r="AE14" s="7">
        <v>0.36</v>
      </c>
      <c r="AF14" s="5">
        <v>24417</v>
      </c>
      <c r="AG14" s="5">
        <v>1</v>
      </c>
      <c r="AH14" s="5">
        <v>638</v>
      </c>
      <c r="AI14" s="7">
        <v>7.8771942819050436E-2</v>
      </c>
    </row>
    <row r="15" spans="2:35" x14ac:dyDescent="0.4">
      <c r="B15" s="4" t="str">
        <f>Population_Input!A16</f>
        <v>Eriador</v>
      </c>
      <c r="C15" s="4" t="str">
        <f>Population_Input!B16</f>
        <v>Rhudaur</v>
      </c>
      <c r="D15" s="68">
        <v>23</v>
      </c>
      <c r="E15" s="7">
        <v>0.75</v>
      </c>
      <c r="F15" s="5">
        <v>13</v>
      </c>
      <c r="G15" s="5">
        <v>57</v>
      </c>
      <c r="H15" s="4">
        <f t="shared" si="0"/>
        <v>208.41</v>
      </c>
      <c r="I15" s="5">
        <v>81</v>
      </c>
      <c r="J15" s="7">
        <v>0.9</v>
      </c>
      <c r="K15" s="5">
        <v>4</v>
      </c>
      <c r="L15" s="4">
        <f t="shared" si="1"/>
        <v>731.26</v>
      </c>
      <c r="M15" s="5">
        <v>3</v>
      </c>
      <c r="N15" s="5">
        <v>623</v>
      </c>
      <c r="O15" s="4">
        <f t="shared" si="2"/>
        <v>2277.88</v>
      </c>
      <c r="P15" s="7">
        <v>0.1</v>
      </c>
      <c r="Q15" s="5"/>
      <c r="R15" s="5"/>
      <c r="S15" s="7">
        <v>0.25</v>
      </c>
      <c r="T15" s="7">
        <v>0.26</v>
      </c>
      <c r="U15" s="5">
        <v>20</v>
      </c>
      <c r="V15" s="5"/>
      <c r="W15" s="5"/>
      <c r="X15" s="7">
        <v>0.91</v>
      </c>
      <c r="Y15" s="7">
        <v>0.91</v>
      </c>
      <c r="Z15" s="7">
        <v>0.45</v>
      </c>
      <c r="AA15" s="7"/>
      <c r="AB15" s="7"/>
      <c r="AC15" s="7"/>
      <c r="AD15" s="44"/>
      <c r="AE15" s="7">
        <v>0.84</v>
      </c>
      <c r="AF15" s="5">
        <v>2143</v>
      </c>
      <c r="AG15" s="5">
        <v>5</v>
      </c>
      <c r="AH15" s="5">
        <v>173</v>
      </c>
      <c r="AI15" s="7">
        <v>0.10127970749542961</v>
      </c>
    </row>
    <row r="16" spans="2:35" x14ac:dyDescent="0.4">
      <c r="B16" s="4" t="str">
        <f>Population_Input!A17</f>
        <v>Eriador</v>
      </c>
      <c r="C16" s="4" t="str">
        <f>Population_Input!B17</f>
        <v>The Shire</v>
      </c>
      <c r="D16" s="68">
        <v>31</v>
      </c>
      <c r="E16" s="7">
        <v>0.06</v>
      </c>
      <c r="F16" s="5">
        <v>5</v>
      </c>
      <c r="G16" s="5">
        <v>56</v>
      </c>
      <c r="H16" s="4">
        <f t="shared" si="0"/>
        <v>4.38</v>
      </c>
      <c r="I16" s="5">
        <v>15</v>
      </c>
      <c r="J16" s="7">
        <v>0.42</v>
      </c>
      <c r="K16" s="5">
        <v>1</v>
      </c>
      <c r="L16" s="4">
        <f t="shared" si="1"/>
        <v>3.91</v>
      </c>
      <c r="M16" s="5">
        <v>1</v>
      </c>
      <c r="N16" s="5">
        <v>619</v>
      </c>
      <c r="O16" s="4">
        <f t="shared" si="2"/>
        <v>48.46</v>
      </c>
      <c r="P16" s="7">
        <v>0.11</v>
      </c>
      <c r="Q16" s="5"/>
      <c r="R16" s="5"/>
      <c r="S16" s="7">
        <v>0.18</v>
      </c>
      <c r="T16" s="7">
        <v>0.91</v>
      </c>
      <c r="U16" s="5">
        <v>29</v>
      </c>
      <c r="V16" s="5"/>
      <c r="W16" s="5"/>
      <c r="X16" s="7">
        <v>0.45</v>
      </c>
      <c r="Y16" s="7">
        <v>0.87</v>
      </c>
      <c r="Z16" s="7">
        <v>0.17</v>
      </c>
      <c r="AA16" s="7"/>
      <c r="AB16" s="7"/>
      <c r="AC16" s="7"/>
      <c r="AD16" s="44"/>
      <c r="AE16" s="7">
        <v>0.39</v>
      </c>
      <c r="AF16" s="5">
        <v>18411</v>
      </c>
      <c r="AG16" s="5">
        <v>2</v>
      </c>
      <c r="AH16" s="5">
        <v>13433</v>
      </c>
      <c r="AI16" s="7">
        <v>0.12499217184368737</v>
      </c>
    </row>
    <row r="17" spans="2:35" x14ac:dyDescent="0.4">
      <c r="B17" s="4" t="str">
        <f>Population_Input!A18</f>
        <v>Eriador</v>
      </c>
      <c r="C17" s="4" t="str">
        <f>Population_Input!B18</f>
        <v>Thorin's Halls</v>
      </c>
      <c r="D17" s="68">
        <v>19</v>
      </c>
      <c r="E17" s="7">
        <v>0.15</v>
      </c>
      <c r="F17" s="5">
        <v>2</v>
      </c>
      <c r="G17" s="5">
        <v>27</v>
      </c>
      <c r="H17" s="4">
        <f t="shared" si="0"/>
        <v>8.85</v>
      </c>
      <c r="I17" s="5">
        <v>141</v>
      </c>
      <c r="J17" s="7">
        <v>0.85</v>
      </c>
      <c r="K17" s="5">
        <v>1</v>
      </c>
      <c r="L17" s="4">
        <f t="shared" si="1"/>
        <v>16.39</v>
      </c>
      <c r="M17" s="5">
        <v>0</v>
      </c>
      <c r="N17" s="5">
        <v>467</v>
      </c>
      <c r="O17" s="4">
        <f t="shared" si="2"/>
        <v>153.06</v>
      </c>
      <c r="P17" s="7">
        <v>0.3</v>
      </c>
      <c r="Q17" s="5"/>
      <c r="R17" s="5"/>
      <c r="S17" s="7">
        <v>0.22</v>
      </c>
      <c r="T17" s="7">
        <v>0.75</v>
      </c>
      <c r="U17" s="5">
        <v>9</v>
      </c>
      <c r="V17" s="5"/>
      <c r="W17" s="5"/>
      <c r="X17" s="7">
        <v>0.14000000000000001</v>
      </c>
      <c r="Y17" s="7">
        <v>0.82</v>
      </c>
      <c r="Z17" s="7">
        <v>0.83</v>
      </c>
      <c r="AA17" s="7"/>
      <c r="AB17" s="7"/>
      <c r="AC17" s="7"/>
      <c r="AD17" s="44"/>
      <c r="AE17" s="7">
        <v>0.48</v>
      </c>
      <c r="AF17" s="5">
        <v>20952</v>
      </c>
      <c r="AG17" s="5">
        <v>2</v>
      </c>
      <c r="AH17" s="5">
        <v>2405</v>
      </c>
      <c r="AI17" s="7">
        <v>8.2300884955752218E-2</v>
      </c>
    </row>
    <row r="18" spans="2:35" x14ac:dyDescent="0.4">
      <c r="B18" s="4" t="str">
        <f>Population_Input!A19</f>
        <v>Forodwaith</v>
      </c>
      <c r="C18" s="4" t="str">
        <f>Population_Input!B19</f>
        <v>Cape of Forochel</v>
      </c>
      <c r="D18" s="68">
        <v>11</v>
      </c>
      <c r="E18" s="7">
        <v>0.75</v>
      </c>
      <c r="F18" s="5">
        <v>8</v>
      </c>
      <c r="G18" s="5">
        <v>60</v>
      </c>
      <c r="H18" s="4">
        <f t="shared" si="0"/>
        <v>79.52</v>
      </c>
      <c r="I18" s="5">
        <v>18</v>
      </c>
      <c r="J18" s="7">
        <v>0.87</v>
      </c>
      <c r="K18" s="5">
        <v>3</v>
      </c>
      <c r="L18" s="4">
        <f t="shared" si="1"/>
        <v>198.81</v>
      </c>
      <c r="M18" s="5">
        <v>3</v>
      </c>
      <c r="N18" s="5">
        <v>543</v>
      </c>
      <c r="O18" s="4">
        <f t="shared" si="2"/>
        <v>719.68</v>
      </c>
      <c r="P18" s="7">
        <v>0.12</v>
      </c>
      <c r="Q18" s="5"/>
      <c r="R18" s="5"/>
      <c r="S18" s="7">
        <v>0.13</v>
      </c>
      <c r="T18" s="7">
        <v>0.61</v>
      </c>
      <c r="U18" s="5">
        <v>2</v>
      </c>
      <c r="V18" s="5"/>
      <c r="W18" s="5"/>
      <c r="X18" s="7">
        <v>0.62</v>
      </c>
      <c r="Y18" s="7">
        <v>0.09</v>
      </c>
      <c r="Z18" s="7">
        <v>0.21</v>
      </c>
      <c r="AA18" s="7"/>
      <c r="AB18" s="7"/>
      <c r="AC18" s="7"/>
      <c r="AD18" s="44"/>
      <c r="AE18" s="7">
        <v>0.67</v>
      </c>
      <c r="AF18" s="5">
        <v>503</v>
      </c>
      <c r="AG18" s="5">
        <v>5</v>
      </c>
      <c r="AH18" s="5">
        <v>918</v>
      </c>
      <c r="AI18" s="7">
        <v>0.1467196819085487</v>
      </c>
    </row>
    <row r="19" spans="2:35" x14ac:dyDescent="0.4">
      <c r="B19" s="4" t="str">
        <f>Population_Input!A20</f>
        <v>Forodwaith</v>
      </c>
      <c r="C19" s="4" t="str">
        <f>Population_Input!B20</f>
        <v>Forochel</v>
      </c>
      <c r="D19" s="68">
        <v>14</v>
      </c>
      <c r="E19" s="7">
        <v>0.68</v>
      </c>
      <c r="F19" s="5">
        <v>19</v>
      </c>
      <c r="G19" s="5">
        <v>14</v>
      </c>
      <c r="H19" s="4">
        <f t="shared" si="0"/>
        <v>27.59</v>
      </c>
      <c r="I19" s="5">
        <v>77</v>
      </c>
      <c r="J19" s="7">
        <v>0.53</v>
      </c>
      <c r="K19" s="5">
        <v>4</v>
      </c>
      <c r="L19" s="4">
        <f t="shared" si="1"/>
        <v>394.17</v>
      </c>
      <c r="M19" s="5">
        <v>4</v>
      </c>
      <c r="N19" s="5">
        <v>488</v>
      </c>
      <c r="O19" s="4">
        <f t="shared" si="2"/>
        <v>961.77</v>
      </c>
      <c r="P19" s="7">
        <v>0.71</v>
      </c>
      <c r="Q19" s="5"/>
      <c r="R19" s="5"/>
      <c r="S19" s="7">
        <v>0.17</v>
      </c>
      <c r="T19" s="7">
        <v>0.66</v>
      </c>
      <c r="U19" s="5">
        <v>19</v>
      </c>
      <c r="V19" s="5"/>
      <c r="W19" s="5"/>
      <c r="X19" s="7">
        <v>0.86</v>
      </c>
      <c r="Y19" s="7">
        <v>0.5</v>
      </c>
      <c r="Z19" s="7">
        <v>0.3</v>
      </c>
      <c r="AA19" s="7"/>
      <c r="AB19" s="7"/>
      <c r="AC19" s="7"/>
      <c r="AD19" s="44"/>
      <c r="AE19" s="7">
        <v>0.97</v>
      </c>
      <c r="AF19" s="5">
        <v>2643</v>
      </c>
      <c r="AG19" s="5">
        <v>5</v>
      </c>
      <c r="AH19" s="5">
        <v>235</v>
      </c>
      <c r="AI19" s="7">
        <v>0.11746156878202602</v>
      </c>
    </row>
    <row r="20" spans="2:35" x14ac:dyDescent="0.4">
      <c r="B20" s="4" t="str">
        <f>Population_Input!A21</f>
        <v>Gondor</v>
      </c>
      <c r="C20" s="4" t="str">
        <f>Population_Input!B21</f>
        <v>Anfalas</v>
      </c>
      <c r="D20" s="68">
        <v>18</v>
      </c>
      <c r="E20" s="7">
        <v>0.44</v>
      </c>
      <c r="F20" s="5">
        <v>3</v>
      </c>
      <c r="G20" s="5">
        <v>68</v>
      </c>
      <c r="H20" s="4">
        <f t="shared" si="0"/>
        <v>12.51</v>
      </c>
      <c r="I20" s="5">
        <v>220</v>
      </c>
      <c r="J20" s="7">
        <v>0.93</v>
      </c>
      <c r="K20" s="5">
        <v>4</v>
      </c>
      <c r="L20" s="4">
        <f t="shared" si="1"/>
        <v>36.799999999999997</v>
      </c>
      <c r="M20" s="5">
        <v>0</v>
      </c>
      <c r="N20" s="5">
        <v>275</v>
      </c>
      <c r="O20" s="4">
        <f t="shared" si="2"/>
        <v>50.6</v>
      </c>
      <c r="P20" s="7">
        <v>0.61</v>
      </c>
      <c r="Q20" s="5"/>
      <c r="R20" s="5"/>
      <c r="S20" s="7">
        <v>0.14000000000000001</v>
      </c>
      <c r="T20" s="7">
        <v>0.91</v>
      </c>
      <c r="U20" s="5">
        <v>8</v>
      </c>
      <c r="V20" s="5"/>
      <c r="W20" s="5"/>
      <c r="X20" s="7">
        <v>0.96</v>
      </c>
      <c r="Y20" s="7">
        <v>0.92</v>
      </c>
      <c r="Z20" s="7">
        <v>0.16</v>
      </c>
      <c r="AA20" s="7"/>
      <c r="AB20" s="7"/>
      <c r="AC20" s="7"/>
      <c r="AD20" s="44"/>
      <c r="AE20" s="7">
        <v>0.42</v>
      </c>
      <c r="AF20" s="5">
        <v>12641</v>
      </c>
      <c r="AG20" s="5">
        <v>3</v>
      </c>
      <c r="AH20" s="5">
        <v>3591</v>
      </c>
      <c r="AI20" s="7">
        <v>8.4990891861556297E-2</v>
      </c>
    </row>
    <row r="21" spans="2:35" x14ac:dyDescent="0.4">
      <c r="B21" s="4" t="str">
        <f>Population_Input!A22</f>
        <v>Gondor</v>
      </c>
      <c r="C21" s="4" t="str">
        <f>Population_Input!B22</f>
        <v>Anorien</v>
      </c>
      <c r="D21" s="68">
        <v>1</v>
      </c>
      <c r="E21" s="7">
        <v>0.2</v>
      </c>
      <c r="F21" s="5">
        <v>15</v>
      </c>
      <c r="G21" s="5">
        <v>21</v>
      </c>
      <c r="H21" s="4">
        <f t="shared" si="0"/>
        <v>34.340000000000003</v>
      </c>
      <c r="I21" s="5">
        <v>186</v>
      </c>
      <c r="J21" s="7">
        <v>0.61</v>
      </c>
      <c r="K21" s="5">
        <v>0</v>
      </c>
      <c r="L21" s="4">
        <f t="shared" si="1"/>
        <v>0</v>
      </c>
      <c r="M21" s="5">
        <v>3</v>
      </c>
      <c r="N21" s="5">
        <v>52</v>
      </c>
      <c r="O21" s="4">
        <f t="shared" si="2"/>
        <v>85.02</v>
      </c>
      <c r="P21" s="7">
        <v>0.6</v>
      </c>
      <c r="Q21" s="5"/>
      <c r="R21" s="5"/>
      <c r="S21" s="7">
        <v>0.16</v>
      </c>
      <c r="T21" s="7">
        <v>0.93</v>
      </c>
      <c r="U21" s="5">
        <v>16</v>
      </c>
      <c r="V21" s="5"/>
      <c r="W21" s="5"/>
      <c r="X21" s="7">
        <v>0.89</v>
      </c>
      <c r="Y21" s="7">
        <v>0.79</v>
      </c>
      <c r="Z21" s="7">
        <v>0.56000000000000005</v>
      </c>
      <c r="AA21" s="7"/>
      <c r="AB21" s="7"/>
      <c r="AC21" s="7"/>
      <c r="AD21" s="44"/>
      <c r="AE21" s="7">
        <v>0.22</v>
      </c>
      <c r="AF21" s="5">
        <v>4235</v>
      </c>
      <c r="AG21" s="5">
        <v>3</v>
      </c>
      <c r="AH21" s="5">
        <v>634</v>
      </c>
      <c r="AI21" s="7">
        <v>0.14551994767822107</v>
      </c>
    </row>
    <row r="22" spans="2:35" x14ac:dyDescent="0.4">
      <c r="B22" s="4" t="str">
        <f>Population_Input!A23</f>
        <v>Gondor</v>
      </c>
      <c r="C22" s="4" t="str">
        <f>Population_Input!B23</f>
        <v>Belfalas</v>
      </c>
      <c r="D22" s="68">
        <v>14</v>
      </c>
      <c r="E22" s="7">
        <v>0.15</v>
      </c>
      <c r="F22" s="5">
        <v>11</v>
      </c>
      <c r="G22" s="5">
        <v>32</v>
      </c>
      <c r="H22" s="4">
        <f t="shared" si="0"/>
        <v>0.57999999999999996</v>
      </c>
      <c r="I22" s="5">
        <v>200</v>
      </c>
      <c r="J22" s="7">
        <v>0.95</v>
      </c>
      <c r="K22" s="5">
        <v>3</v>
      </c>
      <c r="L22" s="4">
        <f t="shared" si="1"/>
        <v>2.72</v>
      </c>
      <c r="M22" s="5">
        <v>4</v>
      </c>
      <c r="N22" s="5">
        <v>611</v>
      </c>
      <c r="O22" s="4">
        <f t="shared" si="2"/>
        <v>11.07</v>
      </c>
      <c r="P22" s="7">
        <v>0.36</v>
      </c>
      <c r="Q22" s="5"/>
      <c r="R22" s="5"/>
      <c r="S22" s="7">
        <v>0.11</v>
      </c>
      <c r="T22" s="7">
        <v>0.41</v>
      </c>
      <c r="U22" s="5">
        <v>9</v>
      </c>
      <c r="V22" s="5"/>
      <c r="W22" s="5"/>
      <c r="X22" s="7">
        <v>0.89</v>
      </c>
      <c r="Y22" s="7">
        <v>0.92</v>
      </c>
      <c r="Z22" s="7">
        <v>0.18</v>
      </c>
      <c r="AA22" s="7"/>
      <c r="AB22" s="7"/>
      <c r="AC22" s="7"/>
      <c r="AD22" s="44"/>
      <c r="AE22" s="7">
        <v>0.99</v>
      </c>
      <c r="AF22" s="5">
        <v>181302</v>
      </c>
      <c r="AG22" s="5">
        <v>5</v>
      </c>
      <c r="AH22" s="5">
        <v>49229</v>
      </c>
      <c r="AI22" s="7">
        <v>0.12610974474512546</v>
      </c>
    </row>
    <row r="23" spans="2:35" x14ac:dyDescent="0.4">
      <c r="B23" s="4" t="str">
        <f>Population_Input!A24</f>
        <v>Gondor</v>
      </c>
      <c r="C23" s="4" t="str">
        <f>Population_Input!B24</f>
        <v>Dor-en-Ernil</v>
      </c>
      <c r="D23" s="68">
        <v>18</v>
      </c>
      <c r="E23" s="7">
        <v>0.08</v>
      </c>
      <c r="F23" s="5">
        <v>27</v>
      </c>
      <c r="G23" s="5">
        <v>24</v>
      </c>
      <c r="H23" s="4">
        <f t="shared" si="0"/>
        <v>23.34</v>
      </c>
      <c r="I23" s="5">
        <v>186</v>
      </c>
      <c r="J23" s="7">
        <v>0.51</v>
      </c>
      <c r="K23" s="5">
        <v>4</v>
      </c>
      <c r="L23" s="4">
        <f t="shared" si="1"/>
        <v>194.48</v>
      </c>
      <c r="M23" s="5">
        <v>2</v>
      </c>
      <c r="N23" s="5">
        <v>602</v>
      </c>
      <c r="O23" s="4">
        <f t="shared" si="2"/>
        <v>585.38</v>
      </c>
      <c r="P23" s="7">
        <v>0.28999999999999998</v>
      </c>
      <c r="Q23" s="5"/>
      <c r="R23" s="5"/>
      <c r="S23" s="7">
        <v>0.17</v>
      </c>
      <c r="T23" s="7">
        <v>0.32</v>
      </c>
      <c r="U23" s="5">
        <v>8</v>
      </c>
      <c r="V23" s="5"/>
      <c r="W23" s="5"/>
      <c r="X23" s="7">
        <v>0.22</v>
      </c>
      <c r="Y23" s="7">
        <v>0.24</v>
      </c>
      <c r="Z23" s="7">
        <v>0.28999999999999998</v>
      </c>
      <c r="AA23" s="7"/>
      <c r="AB23" s="7"/>
      <c r="AC23" s="7"/>
      <c r="AD23" s="44"/>
      <c r="AE23" s="7">
        <v>0.43</v>
      </c>
      <c r="AF23" s="5">
        <v>9357</v>
      </c>
      <c r="AG23" s="5">
        <v>2</v>
      </c>
      <c r="AH23" s="5">
        <v>1331</v>
      </c>
      <c r="AI23" s="7">
        <v>0.14216258265266432</v>
      </c>
    </row>
    <row r="24" spans="2:35" x14ac:dyDescent="0.4">
      <c r="B24" s="4" t="str">
        <f>Population_Input!A25</f>
        <v>Gondor</v>
      </c>
      <c r="C24" s="4" t="str">
        <f>Population_Input!B25</f>
        <v>Ethir Anduin</v>
      </c>
      <c r="D24" s="68">
        <v>10</v>
      </c>
      <c r="E24" s="7">
        <v>0.2</v>
      </c>
      <c r="F24" s="5">
        <v>19</v>
      </c>
      <c r="G24" s="5">
        <v>55</v>
      </c>
      <c r="H24" s="4">
        <f t="shared" si="0"/>
        <v>34.6</v>
      </c>
      <c r="I24" s="5">
        <v>135</v>
      </c>
      <c r="J24" s="7">
        <v>0.49</v>
      </c>
      <c r="K24" s="5">
        <v>1</v>
      </c>
      <c r="L24" s="4">
        <f t="shared" si="1"/>
        <v>31.45</v>
      </c>
      <c r="M24" s="5">
        <v>2</v>
      </c>
      <c r="N24" s="5">
        <v>419</v>
      </c>
      <c r="O24" s="4">
        <f t="shared" si="2"/>
        <v>263.58999999999997</v>
      </c>
      <c r="P24" s="7">
        <v>0.4</v>
      </c>
      <c r="Q24" s="5"/>
      <c r="R24" s="5"/>
      <c r="S24" s="7">
        <v>0.11</v>
      </c>
      <c r="T24" s="7">
        <v>0.82</v>
      </c>
      <c r="U24" s="5">
        <v>19</v>
      </c>
      <c r="V24" s="5"/>
      <c r="W24" s="5"/>
      <c r="X24" s="7">
        <v>0.95</v>
      </c>
      <c r="Y24" s="7">
        <v>0.12</v>
      </c>
      <c r="Z24" s="7">
        <v>0.15</v>
      </c>
      <c r="AA24" s="7"/>
      <c r="AB24" s="7"/>
      <c r="AC24" s="7"/>
      <c r="AD24" s="44"/>
      <c r="AE24" s="7">
        <v>0.6</v>
      </c>
      <c r="AF24" s="5">
        <v>7840</v>
      </c>
      <c r="AG24" s="5">
        <v>2</v>
      </c>
      <c r="AH24" s="5">
        <v>2311</v>
      </c>
      <c r="AI24" s="7">
        <v>0.14827629592350278</v>
      </c>
    </row>
    <row r="25" spans="2:35" x14ac:dyDescent="0.4">
      <c r="B25" s="4" t="str">
        <f>Population_Input!A26</f>
        <v>Gondor</v>
      </c>
      <c r="C25" s="4" t="str">
        <f>Population_Input!B26</f>
        <v>Ithilien</v>
      </c>
      <c r="D25" s="68">
        <v>11</v>
      </c>
      <c r="E25" s="7">
        <v>0.33</v>
      </c>
      <c r="F25" s="5">
        <v>5</v>
      </c>
      <c r="G25" s="5">
        <v>66</v>
      </c>
      <c r="H25" s="4">
        <f t="shared" si="0"/>
        <v>25.08</v>
      </c>
      <c r="I25" s="5">
        <v>68</v>
      </c>
      <c r="J25" s="7">
        <v>0.84</v>
      </c>
      <c r="K25" s="5">
        <v>2</v>
      </c>
      <c r="L25" s="4">
        <f t="shared" si="1"/>
        <v>38</v>
      </c>
      <c r="M25" s="5">
        <v>3</v>
      </c>
      <c r="N25" s="5">
        <v>498</v>
      </c>
      <c r="O25" s="4">
        <f t="shared" si="2"/>
        <v>189.26</v>
      </c>
      <c r="P25" s="7">
        <v>0.61</v>
      </c>
      <c r="Q25" s="5"/>
      <c r="R25" s="5"/>
      <c r="S25" s="7">
        <v>0.28000000000000003</v>
      </c>
      <c r="T25" s="7">
        <v>0.56000000000000005</v>
      </c>
      <c r="U25" s="5">
        <v>8</v>
      </c>
      <c r="V25" s="5"/>
      <c r="W25" s="5"/>
      <c r="X25" s="7">
        <v>0.47</v>
      </c>
      <c r="Y25" s="7">
        <v>0.12</v>
      </c>
      <c r="Z25" s="7">
        <v>0.2</v>
      </c>
      <c r="AA25" s="7"/>
      <c r="AB25" s="7"/>
      <c r="AC25" s="7"/>
      <c r="AD25" s="44"/>
      <c r="AE25" s="7">
        <v>0.51</v>
      </c>
      <c r="AF25" s="5">
        <v>16709</v>
      </c>
      <c r="AG25" s="5">
        <v>3</v>
      </c>
      <c r="AH25" s="5">
        <v>1388</v>
      </c>
      <c r="AI25" s="7">
        <v>7.4829931972789115E-2</v>
      </c>
    </row>
    <row r="26" spans="2:35" x14ac:dyDescent="0.4">
      <c r="B26" s="4" t="str">
        <f>Population_Input!A27</f>
        <v>Gondor</v>
      </c>
      <c r="C26" s="4" t="str">
        <f>Population_Input!B27</f>
        <v>Lamedon</v>
      </c>
      <c r="D26" s="68">
        <v>8</v>
      </c>
      <c r="E26" s="7">
        <v>0.59</v>
      </c>
      <c r="F26" s="5">
        <v>10</v>
      </c>
      <c r="G26" s="5">
        <v>19</v>
      </c>
      <c r="H26" s="4">
        <f t="shared" si="0"/>
        <v>23.4</v>
      </c>
      <c r="I26" s="5">
        <v>146</v>
      </c>
      <c r="J26" s="7">
        <v>0.71</v>
      </c>
      <c r="K26" s="5">
        <v>4</v>
      </c>
      <c r="L26" s="4">
        <f t="shared" si="1"/>
        <v>246.31</v>
      </c>
      <c r="M26" s="5">
        <v>4</v>
      </c>
      <c r="N26" s="5">
        <v>555</v>
      </c>
      <c r="O26" s="4">
        <f t="shared" si="2"/>
        <v>683.5</v>
      </c>
      <c r="P26" s="7">
        <v>0.46</v>
      </c>
      <c r="Q26" s="5"/>
      <c r="R26" s="5"/>
      <c r="S26" s="7">
        <v>0.27</v>
      </c>
      <c r="T26" s="7">
        <v>0.72</v>
      </c>
      <c r="U26" s="5">
        <v>10</v>
      </c>
      <c r="V26" s="5"/>
      <c r="W26" s="5"/>
      <c r="X26" s="7">
        <v>7.0000000000000007E-2</v>
      </c>
      <c r="Y26" s="7">
        <v>0.9</v>
      </c>
      <c r="Z26" s="7">
        <v>0.57999999999999996</v>
      </c>
      <c r="AA26" s="7"/>
      <c r="AB26" s="7"/>
      <c r="AC26" s="7"/>
      <c r="AD26" s="44"/>
      <c r="AE26" s="7">
        <v>0.95</v>
      </c>
      <c r="AF26" s="5">
        <v>4148</v>
      </c>
      <c r="AG26" s="5">
        <v>1</v>
      </c>
      <c r="AH26" s="5">
        <v>695</v>
      </c>
      <c r="AI26" s="7">
        <v>0.13620689655172413</v>
      </c>
    </row>
    <row r="27" spans="2:35" x14ac:dyDescent="0.4">
      <c r="B27" s="4" t="str">
        <f>Population_Input!A28</f>
        <v>Gondor</v>
      </c>
      <c r="C27" s="4" t="str">
        <f>Population_Input!B28</f>
        <v>Lebennin</v>
      </c>
      <c r="D27" s="68">
        <v>9</v>
      </c>
      <c r="E27" s="7">
        <v>0.34</v>
      </c>
      <c r="F27" s="5">
        <v>16</v>
      </c>
      <c r="G27" s="5">
        <v>54</v>
      </c>
      <c r="H27" s="4">
        <f t="shared" si="0"/>
        <v>56.05</v>
      </c>
      <c r="I27" s="5">
        <v>156</v>
      </c>
      <c r="J27" s="7">
        <v>0.7</v>
      </c>
      <c r="K27" s="5">
        <v>4</v>
      </c>
      <c r="L27" s="4">
        <f t="shared" si="1"/>
        <v>207.6</v>
      </c>
      <c r="M27" s="5">
        <v>1</v>
      </c>
      <c r="N27" s="5">
        <v>525</v>
      </c>
      <c r="O27" s="4">
        <f t="shared" si="2"/>
        <v>544.94000000000005</v>
      </c>
      <c r="P27" s="7">
        <v>0.32</v>
      </c>
      <c r="Q27" s="5"/>
      <c r="R27" s="5"/>
      <c r="S27" s="7">
        <v>0.21</v>
      </c>
      <c r="T27" s="7">
        <v>1</v>
      </c>
      <c r="U27" s="5">
        <v>20</v>
      </c>
      <c r="V27" s="5"/>
      <c r="W27" s="5"/>
      <c r="X27" s="7">
        <v>0.61</v>
      </c>
      <c r="Y27" s="7">
        <v>0.66</v>
      </c>
      <c r="Z27" s="7">
        <v>0.46</v>
      </c>
      <c r="AA27" s="7"/>
      <c r="AB27" s="7"/>
      <c r="AC27" s="7"/>
      <c r="AD27" s="44"/>
      <c r="AE27" s="7">
        <v>0.77</v>
      </c>
      <c r="AF27" s="5">
        <v>236</v>
      </c>
      <c r="AG27" s="5">
        <v>5</v>
      </c>
      <c r="AH27" s="5">
        <v>347</v>
      </c>
      <c r="AI27" s="7">
        <v>0.1163587294996886</v>
      </c>
    </row>
    <row r="28" spans="2:35" x14ac:dyDescent="0.4">
      <c r="B28" s="4" t="str">
        <f>Population_Input!A29</f>
        <v>Gondor</v>
      </c>
      <c r="C28" s="4" t="str">
        <f>Population_Input!B29</f>
        <v>Lossarnach</v>
      </c>
      <c r="D28" s="68">
        <v>7</v>
      </c>
      <c r="E28" s="7">
        <v>0.79</v>
      </c>
      <c r="F28" s="5">
        <v>2</v>
      </c>
      <c r="G28" s="5">
        <v>38</v>
      </c>
      <c r="H28" s="4">
        <f t="shared" si="0"/>
        <v>12.52</v>
      </c>
      <c r="I28" s="5">
        <v>69</v>
      </c>
      <c r="J28" s="7">
        <v>0.69</v>
      </c>
      <c r="K28" s="5">
        <v>1</v>
      </c>
      <c r="L28" s="4">
        <f t="shared" si="1"/>
        <v>16.47</v>
      </c>
      <c r="M28" s="5">
        <v>0</v>
      </c>
      <c r="N28" s="5">
        <v>606</v>
      </c>
      <c r="O28" s="4">
        <f t="shared" si="2"/>
        <v>199.63</v>
      </c>
      <c r="P28" s="7">
        <v>0.66</v>
      </c>
      <c r="Q28" s="5"/>
      <c r="R28" s="5"/>
      <c r="S28" s="7">
        <v>0.27</v>
      </c>
      <c r="T28" s="7">
        <v>0.52</v>
      </c>
      <c r="U28" s="5">
        <v>9</v>
      </c>
      <c r="V28" s="5"/>
      <c r="W28" s="5"/>
      <c r="X28" s="7">
        <v>0.83</v>
      </c>
      <c r="Y28" s="7">
        <v>0.53</v>
      </c>
      <c r="Z28" s="7">
        <v>0.18</v>
      </c>
      <c r="AA28" s="7"/>
      <c r="AB28" s="7"/>
      <c r="AC28" s="7"/>
      <c r="AD28" s="44"/>
      <c r="AE28" s="7">
        <v>0.79</v>
      </c>
      <c r="AF28" s="5">
        <v>13026</v>
      </c>
      <c r="AG28" s="5">
        <v>5</v>
      </c>
      <c r="AH28" s="5">
        <v>3974</v>
      </c>
      <c r="AI28" s="7">
        <v>0.13153906970615364</v>
      </c>
    </row>
    <row r="29" spans="2:35" x14ac:dyDescent="0.4">
      <c r="B29" s="4" t="str">
        <f>Population_Input!A30</f>
        <v>Gondor</v>
      </c>
      <c r="C29" s="4" t="str">
        <f>Population_Input!B30</f>
        <v>Morthond</v>
      </c>
      <c r="D29" s="68">
        <v>6</v>
      </c>
      <c r="E29" s="7">
        <v>0.23</v>
      </c>
      <c r="F29" s="5">
        <v>18</v>
      </c>
      <c r="G29" s="5">
        <v>30</v>
      </c>
      <c r="H29" s="4">
        <f t="shared" si="0"/>
        <v>35.15</v>
      </c>
      <c r="I29" s="5">
        <v>86</v>
      </c>
      <c r="J29" s="7">
        <v>0.28000000000000003</v>
      </c>
      <c r="K29" s="5">
        <v>1</v>
      </c>
      <c r="L29" s="4">
        <f t="shared" si="1"/>
        <v>58.58</v>
      </c>
      <c r="M29" s="5">
        <v>1</v>
      </c>
      <c r="N29" s="5">
        <v>620</v>
      </c>
      <c r="O29" s="4">
        <f t="shared" si="2"/>
        <v>726.34</v>
      </c>
      <c r="P29" s="7">
        <v>0.67</v>
      </c>
      <c r="Q29" s="5"/>
      <c r="R29" s="5"/>
      <c r="S29" s="7">
        <v>0.11</v>
      </c>
      <c r="T29" s="7">
        <v>0.4</v>
      </c>
      <c r="U29" s="5">
        <v>2</v>
      </c>
      <c r="V29" s="5"/>
      <c r="W29" s="5"/>
      <c r="X29" s="7">
        <v>0.84</v>
      </c>
      <c r="Y29" s="7">
        <v>0.7</v>
      </c>
      <c r="Z29" s="7">
        <v>0.56999999999999995</v>
      </c>
      <c r="AA29" s="7"/>
      <c r="AB29" s="7"/>
      <c r="AC29" s="7"/>
      <c r="AD29" s="44"/>
      <c r="AE29" s="7">
        <v>0.57999999999999996</v>
      </c>
      <c r="AF29" s="5">
        <v>4023</v>
      </c>
      <c r="AG29" s="5">
        <v>3</v>
      </c>
      <c r="AH29" s="5">
        <v>163</v>
      </c>
      <c r="AI29" s="7">
        <v>3.3973758200562323E-2</v>
      </c>
    </row>
    <row r="30" spans="2:35" x14ac:dyDescent="0.4">
      <c r="B30" s="4" t="str">
        <f>Population_Input!A31</f>
        <v>Gondor</v>
      </c>
      <c r="C30" s="4" t="str">
        <f>Population_Input!B31</f>
        <v>Pinnath Gelin</v>
      </c>
      <c r="D30" s="68">
        <v>15</v>
      </c>
      <c r="E30" s="7">
        <v>0.89</v>
      </c>
      <c r="F30" s="5">
        <v>4</v>
      </c>
      <c r="G30" s="5">
        <v>62</v>
      </c>
      <c r="H30" s="4">
        <f t="shared" si="0"/>
        <v>7.43</v>
      </c>
      <c r="I30" s="5">
        <v>109</v>
      </c>
      <c r="J30" s="7">
        <v>0.62</v>
      </c>
      <c r="K30" s="5">
        <v>0</v>
      </c>
      <c r="L30" s="4">
        <f t="shared" si="1"/>
        <v>0</v>
      </c>
      <c r="M30" s="5">
        <v>1</v>
      </c>
      <c r="N30" s="5">
        <v>618</v>
      </c>
      <c r="O30" s="4">
        <f t="shared" si="2"/>
        <v>74.08</v>
      </c>
      <c r="P30" s="7">
        <v>0.26</v>
      </c>
      <c r="Q30" s="5"/>
      <c r="R30" s="5"/>
      <c r="S30" s="7">
        <v>0.26</v>
      </c>
      <c r="T30" s="7">
        <v>0.61</v>
      </c>
      <c r="U30" s="5">
        <v>24</v>
      </c>
      <c r="V30" s="5"/>
      <c r="W30" s="5"/>
      <c r="X30" s="7">
        <v>0.2</v>
      </c>
      <c r="Y30" s="7">
        <v>0.56000000000000005</v>
      </c>
      <c r="Z30" s="7">
        <v>0.22</v>
      </c>
      <c r="AA30" s="7"/>
      <c r="AB30" s="7"/>
      <c r="AC30" s="7"/>
      <c r="AD30" s="44"/>
      <c r="AE30" s="7">
        <v>0.66</v>
      </c>
      <c r="AF30" s="5">
        <v>10594</v>
      </c>
      <c r="AG30" s="5">
        <v>5</v>
      </c>
      <c r="AH30" s="5">
        <v>7610</v>
      </c>
      <c r="AI30" s="7">
        <v>0.12442611749757261</v>
      </c>
    </row>
    <row r="31" spans="2:35" x14ac:dyDescent="0.4">
      <c r="B31" s="4" t="str">
        <f>Population_Input!A32</f>
        <v>Gondor</v>
      </c>
      <c r="C31" s="4" t="str">
        <f>Population_Input!B32</f>
        <v>Ringlo Vale</v>
      </c>
      <c r="D31" s="68">
        <v>24</v>
      </c>
      <c r="E31" s="7">
        <v>0.13</v>
      </c>
      <c r="F31" s="5">
        <v>25</v>
      </c>
      <c r="G31" s="5">
        <v>43</v>
      </c>
      <c r="H31" s="4">
        <f t="shared" si="0"/>
        <v>46.52</v>
      </c>
      <c r="I31" s="5">
        <v>152</v>
      </c>
      <c r="J31" s="7">
        <v>0.74</v>
      </c>
      <c r="K31" s="5">
        <v>4</v>
      </c>
      <c r="L31" s="4">
        <f t="shared" si="1"/>
        <v>216.38</v>
      </c>
      <c r="M31" s="5">
        <v>1</v>
      </c>
      <c r="N31" s="5">
        <v>275</v>
      </c>
      <c r="O31" s="4">
        <f t="shared" si="2"/>
        <v>297.52</v>
      </c>
      <c r="P31" s="7">
        <v>0.32</v>
      </c>
      <c r="Q31" s="5"/>
      <c r="R31" s="5"/>
      <c r="S31" s="7">
        <v>0.1</v>
      </c>
      <c r="T31" s="7">
        <v>0.45</v>
      </c>
      <c r="U31" s="5">
        <v>24</v>
      </c>
      <c r="V31" s="5"/>
      <c r="W31" s="5"/>
      <c r="X31" s="7">
        <v>0.55000000000000004</v>
      </c>
      <c r="Y31" s="7">
        <v>0.95</v>
      </c>
      <c r="Z31" s="7">
        <v>0.06</v>
      </c>
      <c r="AA31" s="7"/>
      <c r="AB31" s="7"/>
      <c r="AC31" s="7"/>
      <c r="AD31" s="44"/>
      <c r="AE31" s="7">
        <v>0.28000000000000003</v>
      </c>
      <c r="AF31" s="5">
        <v>8141</v>
      </c>
      <c r="AG31" s="5">
        <v>5</v>
      </c>
      <c r="AH31" s="5">
        <v>403</v>
      </c>
      <c r="AI31" s="7">
        <v>8.6335605322947095E-2</v>
      </c>
    </row>
    <row r="32" spans="2:35" x14ac:dyDescent="0.4">
      <c r="B32" s="4" t="str">
        <f>Population_Input!A33</f>
        <v>Harad</v>
      </c>
      <c r="C32" s="4" t="str">
        <f>Population_Input!B33</f>
        <v>Corsairs</v>
      </c>
      <c r="D32" s="68">
        <v>23</v>
      </c>
      <c r="E32" s="7">
        <v>0.97</v>
      </c>
      <c r="F32" s="5">
        <v>17</v>
      </c>
      <c r="G32" s="5">
        <v>19</v>
      </c>
      <c r="H32" s="4">
        <f t="shared" si="0"/>
        <v>12.22</v>
      </c>
      <c r="I32" s="5">
        <v>201</v>
      </c>
      <c r="J32" s="7">
        <v>0.65</v>
      </c>
      <c r="K32" s="5">
        <v>3</v>
      </c>
      <c r="L32" s="4">
        <f t="shared" si="1"/>
        <v>96.45</v>
      </c>
      <c r="M32" s="5">
        <v>1</v>
      </c>
      <c r="N32" s="5">
        <v>37</v>
      </c>
      <c r="O32" s="4">
        <f t="shared" si="2"/>
        <v>23.79</v>
      </c>
      <c r="P32" s="7">
        <v>0.03</v>
      </c>
      <c r="Q32" s="5"/>
      <c r="R32" s="5"/>
      <c r="S32" s="7">
        <v>0.22</v>
      </c>
      <c r="T32" s="7">
        <v>0.24</v>
      </c>
      <c r="U32" s="5">
        <v>8</v>
      </c>
      <c r="V32" s="5"/>
      <c r="W32" s="5"/>
      <c r="X32" s="7">
        <v>0.79</v>
      </c>
      <c r="Y32" s="7">
        <v>0.95</v>
      </c>
      <c r="Z32" s="7">
        <v>0.78</v>
      </c>
      <c r="AA32" s="7"/>
      <c r="AB32" s="7"/>
      <c r="AC32" s="7"/>
      <c r="AD32" s="44"/>
      <c r="AE32" s="7">
        <v>0.23</v>
      </c>
      <c r="AF32" s="5">
        <v>2426</v>
      </c>
      <c r="AG32" s="5">
        <v>5</v>
      </c>
      <c r="AH32" s="5">
        <v>633</v>
      </c>
      <c r="AI32" s="7">
        <v>7.9218106995884774E-2</v>
      </c>
    </row>
    <row r="33" spans="2:35" x14ac:dyDescent="0.4">
      <c r="B33" s="4" t="str">
        <f>Population_Input!A34</f>
        <v>Harad</v>
      </c>
      <c r="C33" s="4" t="str">
        <f>Population_Input!B34</f>
        <v>Far Harad</v>
      </c>
      <c r="D33" s="68">
        <v>6</v>
      </c>
      <c r="E33" s="7">
        <v>0.64</v>
      </c>
      <c r="F33" s="5">
        <v>26</v>
      </c>
      <c r="G33" s="5">
        <v>20</v>
      </c>
      <c r="H33" s="4">
        <f t="shared" si="0"/>
        <v>44.13</v>
      </c>
      <c r="I33" s="5">
        <v>155</v>
      </c>
      <c r="J33" s="7">
        <v>0.46</v>
      </c>
      <c r="K33" s="5">
        <v>1</v>
      </c>
      <c r="L33" s="4">
        <f t="shared" si="1"/>
        <v>110.33</v>
      </c>
      <c r="M33" s="5">
        <v>4</v>
      </c>
      <c r="N33" s="5">
        <v>24</v>
      </c>
      <c r="O33" s="4">
        <f t="shared" si="2"/>
        <v>52.96</v>
      </c>
      <c r="P33" s="7">
        <v>0.34</v>
      </c>
      <c r="Q33" s="5"/>
      <c r="R33" s="5"/>
      <c r="S33" s="7">
        <v>0.25</v>
      </c>
      <c r="T33" s="7">
        <v>0.86</v>
      </c>
      <c r="U33" s="5">
        <v>22</v>
      </c>
      <c r="V33" s="5"/>
      <c r="W33" s="5"/>
      <c r="X33" s="7">
        <v>0.85</v>
      </c>
      <c r="Y33" s="7">
        <v>0.12</v>
      </c>
      <c r="Z33" s="7">
        <v>0.26</v>
      </c>
      <c r="AA33" s="7"/>
      <c r="AB33" s="7"/>
      <c r="AC33" s="7"/>
      <c r="AD33" s="44"/>
      <c r="AE33" s="7">
        <v>0.81</v>
      </c>
      <c r="AF33" s="5">
        <v>1193</v>
      </c>
      <c r="AG33" s="5">
        <v>3</v>
      </c>
      <c r="AH33" s="5">
        <v>222</v>
      </c>
      <c r="AI33" s="7">
        <v>0.12422771403353927</v>
      </c>
    </row>
    <row r="34" spans="2:35" x14ac:dyDescent="0.4">
      <c r="B34" s="4" t="str">
        <f>Population_Input!A35</f>
        <v>Harad</v>
      </c>
      <c r="C34" s="4" t="str">
        <f>Population_Input!B35</f>
        <v>Near harad</v>
      </c>
      <c r="D34" s="68">
        <v>12</v>
      </c>
      <c r="E34" s="7">
        <v>0.2</v>
      </c>
      <c r="F34" s="5">
        <v>20</v>
      </c>
      <c r="G34" s="5">
        <v>32</v>
      </c>
      <c r="H34" s="4">
        <f t="shared" si="0"/>
        <v>68.849999999999994</v>
      </c>
      <c r="I34" s="5">
        <v>205</v>
      </c>
      <c r="J34" s="7">
        <v>0.34</v>
      </c>
      <c r="K34" s="5">
        <v>2</v>
      </c>
      <c r="L34" s="4">
        <f t="shared" si="1"/>
        <v>215.15</v>
      </c>
      <c r="M34" s="5">
        <v>0</v>
      </c>
      <c r="N34" s="5">
        <v>355</v>
      </c>
      <c r="O34" s="4">
        <f t="shared" si="2"/>
        <v>763.77</v>
      </c>
      <c r="P34" s="7">
        <v>0.74</v>
      </c>
      <c r="Q34" s="5"/>
      <c r="R34" s="5"/>
      <c r="S34" s="7">
        <v>0.24</v>
      </c>
      <c r="T34" s="7">
        <v>0.73</v>
      </c>
      <c r="U34" s="5">
        <v>5</v>
      </c>
      <c r="V34" s="5"/>
      <c r="W34" s="5"/>
      <c r="X34" s="7">
        <v>0.66</v>
      </c>
      <c r="Y34" s="7">
        <v>0.01</v>
      </c>
      <c r="Z34" s="7">
        <v>0.39</v>
      </c>
      <c r="AA34" s="7"/>
      <c r="AB34" s="7"/>
      <c r="AC34" s="7"/>
      <c r="AD34" s="44"/>
      <c r="AE34" s="7">
        <v>0.4</v>
      </c>
      <c r="AF34" s="5">
        <v>3906</v>
      </c>
      <c r="AG34" s="5">
        <v>1</v>
      </c>
      <c r="AH34" s="5">
        <v>609</v>
      </c>
      <c r="AI34" s="7">
        <v>0.13123924268502582</v>
      </c>
    </row>
    <row r="35" spans="2:35" x14ac:dyDescent="0.4">
      <c r="B35" s="4" t="str">
        <f>Population_Input!A36</f>
        <v>Harad</v>
      </c>
      <c r="C35" s="4" t="str">
        <f>Population_Input!B36</f>
        <v>Umbar</v>
      </c>
      <c r="D35" s="68">
        <v>11</v>
      </c>
      <c r="E35" s="7">
        <v>0.15</v>
      </c>
      <c r="F35" s="5">
        <v>11</v>
      </c>
      <c r="G35" s="5">
        <v>34</v>
      </c>
      <c r="H35" s="4">
        <f t="shared" si="0"/>
        <v>6.65</v>
      </c>
      <c r="I35" s="5">
        <v>38</v>
      </c>
      <c r="J35" s="7">
        <v>0.91</v>
      </c>
      <c r="K35" s="5">
        <v>4</v>
      </c>
      <c r="L35" s="4">
        <f t="shared" si="1"/>
        <v>39.11</v>
      </c>
      <c r="M35" s="5">
        <v>0</v>
      </c>
      <c r="N35" s="5">
        <v>386</v>
      </c>
      <c r="O35" s="4">
        <f t="shared" si="2"/>
        <v>75.47</v>
      </c>
      <c r="P35" s="7">
        <v>0.43</v>
      </c>
      <c r="Q35" s="5"/>
      <c r="R35" s="5"/>
      <c r="S35" s="7">
        <v>0.1</v>
      </c>
      <c r="T35" s="7">
        <v>0.92</v>
      </c>
      <c r="U35" s="5">
        <v>10</v>
      </c>
      <c r="V35" s="5"/>
      <c r="W35" s="5"/>
      <c r="X35" s="7">
        <v>0.35</v>
      </c>
      <c r="Y35" s="7">
        <v>0.87</v>
      </c>
      <c r="Z35" s="7">
        <v>0.67</v>
      </c>
      <c r="AA35" s="7"/>
      <c r="AB35" s="7"/>
      <c r="AC35" s="7"/>
      <c r="AD35" s="44"/>
      <c r="AE35" s="7">
        <v>0.39</v>
      </c>
      <c r="AF35" s="5">
        <v>45691</v>
      </c>
      <c r="AG35" s="5">
        <v>3</v>
      </c>
      <c r="AH35" s="5">
        <v>7391</v>
      </c>
      <c r="AI35" s="7">
        <v>0.1490331032594881</v>
      </c>
    </row>
    <row r="36" spans="2:35" x14ac:dyDescent="0.4">
      <c r="B36" s="4" t="str">
        <f>Population_Input!A37</f>
        <v>Lindon</v>
      </c>
      <c r="C36" s="4" t="str">
        <f>Population_Input!B37</f>
        <v>Ered Luin</v>
      </c>
      <c r="D36" s="68">
        <v>12</v>
      </c>
      <c r="E36" s="7">
        <v>0.09</v>
      </c>
      <c r="F36" s="5">
        <v>11</v>
      </c>
      <c r="G36" s="5">
        <v>30</v>
      </c>
      <c r="H36" s="4">
        <f t="shared" si="0"/>
        <v>4.79</v>
      </c>
      <c r="I36" s="5">
        <v>232</v>
      </c>
      <c r="J36" s="7">
        <v>0.87</v>
      </c>
      <c r="K36" s="5">
        <v>0</v>
      </c>
      <c r="L36" s="4">
        <f t="shared" si="1"/>
        <v>0</v>
      </c>
      <c r="M36" s="5">
        <v>3</v>
      </c>
      <c r="N36" s="5">
        <v>461</v>
      </c>
      <c r="O36" s="4">
        <f t="shared" si="2"/>
        <v>73.66</v>
      </c>
      <c r="P36" s="7">
        <v>0.04</v>
      </c>
      <c r="Q36" s="5"/>
      <c r="R36" s="5"/>
      <c r="S36" s="7">
        <v>0.23</v>
      </c>
      <c r="T36" s="7">
        <v>0.65</v>
      </c>
      <c r="U36" s="5">
        <v>30</v>
      </c>
      <c r="V36" s="5"/>
      <c r="W36" s="5"/>
      <c r="X36" s="7">
        <v>0.25</v>
      </c>
      <c r="Y36" s="7">
        <v>0.31</v>
      </c>
      <c r="Z36" s="7">
        <v>0.17</v>
      </c>
      <c r="AA36" s="7"/>
      <c r="AB36" s="7"/>
      <c r="AC36" s="7"/>
      <c r="AD36" s="44"/>
      <c r="AE36" s="7">
        <v>0.22</v>
      </c>
      <c r="AF36" s="5">
        <v>11</v>
      </c>
      <c r="AG36" s="5">
        <v>5</v>
      </c>
      <c r="AH36" s="5">
        <v>7837</v>
      </c>
      <c r="AI36" s="7">
        <v>0.12609258401112158</v>
      </c>
    </row>
    <row r="37" spans="2:35" x14ac:dyDescent="0.4">
      <c r="B37" s="4" t="str">
        <f>Population_Input!A38</f>
        <v>Lindon</v>
      </c>
      <c r="C37" s="4" t="str">
        <f>Population_Input!B38</f>
        <v>Forlindon</v>
      </c>
      <c r="D37" s="68">
        <v>13</v>
      </c>
      <c r="E37" s="7">
        <v>0.93</v>
      </c>
      <c r="F37" s="5">
        <v>1</v>
      </c>
      <c r="G37" s="5">
        <v>67</v>
      </c>
      <c r="H37" s="4">
        <f t="shared" si="0"/>
        <v>168.68</v>
      </c>
      <c r="I37" s="5">
        <v>137</v>
      </c>
      <c r="J37" s="7">
        <v>0.63</v>
      </c>
      <c r="K37" s="5">
        <v>3</v>
      </c>
      <c r="L37" s="4">
        <f t="shared" si="1"/>
        <v>377.64</v>
      </c>
      <c r="M37" s="5">
        <v>4</v>
      </c>
      <c r="N37" s="5">
        <v>64</v>
      </c>
      <c r="O37" s="4">
        <f t="shared" si="2"/>
        <v>161.13</v>
      </c>
      <c r="P37" s="7">
        <v>0.6</v>
      </c>
      <c r="Q37" s="5"/>
      <c r="R37" s="5"/>
      <c r="S37" s="7">
        <v>0.08</v>
      </c>
      <c r="T37" s="7">
        <v>0.49</v>
      </c>
      <c r="U37" s="5">
        <v>2</v>
      </c>
      <c r="V37" s="5"/>
      <c r="W37" s="5"/>
      <c r="X37" s="7">
        <v>0.63</v>
      </c>
      <c r="Y37" s="7">
        <v>0.24</v>
      </c>
      <c r="Z37" s="7">
        <v>0.43</v>
      </c>
      <c r="AA37" s="7"/>
      <c r="AB37" s="7"/>
      <c r="AC37" s="7"/>
      <c r="AD37" s="44"/>
      <c r="AE37" s="7">
        <v>0.85</v>
      </c>
      <c r="AF37" s="5">
        <v>1717</v>
      </c>
      <c r="AG37" s="5">
        <v>3</v>
      </c>
      <c r="AH37" s="5">
        <v>57</v>
      </c>
      <c r="AI37" s="7">
        <v>8.0060422960725075E-2</v>
      </c>
    </row>
    <row r="38" spans="2:35" x14ac:dyDescent="0.4">
      <c r="B38" s="4" t="str">
        <f>Population_Input!A39</f>
        <v>Lindon</v>
      </c>
      <c r="C38" s="4" t="str">
        <f>Population_Input!B39</f>
        <v>Harlindon</v>
      </c>
      <c r="D38" s="68">
        <v>39</v>
      </c>
      <c r="E38" s="7">
        <v>0.81</v>
      </c>
      <c r="F38" s="5">
        <v>22</v>
      </c>
      <c r="G38" s="5">
        <v>73</v>
      </c>
      <c r="H38" s="4">
        <f t="shared" si="0"/>
        <v>7.65</v>
      </c>
      <c r="I38" s="5">
        <v>168</v>
      </c>
      <c r="J38" s="7">
        <v>0.49</v>
      </c>
      <c r="K38" s="5">
        <v>0</v>
      </c>
      <c r="L38" s="4">
        <f t="shared" si="1"/>
        <v>0</v>
      </c>
      <c r="M38" s="5">
        <v>3</v>
      </c>
      <c r="N38" s="5">
        <v>433</v>
      </c>
      <c r="O38" s="4">
        <f t="shared" si="2"/>
        <v>45.37</v>
      </c>
      <c r="P38" s="7">
        <v>0.62</v>
      </c>
      <c r="Q38" s="5"/>
      <c r="R38" s="5"/>
      <c r="S38" s="7">
        <v>0.14000000000000001</v>
      </c>
      <c r="T38" s="7">
        <v>0.46</v>
      </c>
      <c r="U38" s="5">
        <v>13</v>
      </c>
      <c r="V38" s="5"/>
      <c r="W38" s="5"/>
      <c r="X38" s="7">
        <v>0.46</v>
      </c>
      <c r="Y38" s="7">
        <v>0.63</v>
      </c>
      <c r="Z38" s="7">
        <v>0.75</v>
      </c>
      <c r="AA38" s="7"/>
      <c r="AB38" s="7"/>
      <c r="AC38" s="7"/>
      <c r="AD38" s="44"/>
      <c r="AE38" s="7">
        <v>0.97</v>
      </c>
      <c r="AF38" s="5">
        <v>69064</v>
      </c>
      <c r="AG38" s="5">
        <v>3</v>
      </c>
      <c r="AH38" s="5">
        <v>1526</v>
      </c>
      <c r="AI38" s="7">
        <v>0.13869240361742483</v>
      </c>
    </row>
    <row r="39" spans="2:35" x14ac:dyDescent="0.4">
      <c r="B39" s="4" t="str">
        <f>Population_Input!A40</f>
        <v>Mordor</v>
      </c>
      <c r="C39" s="4" t="str">
        <f>Population_Input!B40</f>
        <v>Gorgoroth</v>
      </c>
      <c r="D39" s="68">
        <v>37</v>
      </c>
      <c r="E39" s="7">
        <v>0.75</v>
      </c>
      <c r="F39" s="5">
        <v>29</v>
      </c>
      <c r="G39" s="5">
        <v>34</v>
      </c>
      <c r="H39" s="4">
        <f t="shared" si="0"/>
        <v>5.68</v>
      </c>
      <c r="I39" s="5">
        <v>40</v>
      </c>
      <c r="J39" s="7">
        <v>0.59</v>
      </c>
      <c r="K39" s="5">
        <v>0</v>
      </c>
      <c r="L39" s="4">
        <f t="shared" si="1"/>
        <v>0</v>
      </c>
      <c r="M39" s="5">
        <v>0</v>
      </c>
      <c r="N39" s="5">
        <v>242</v>
      </c>
      <c r="O39" s="4">
        <f t="shared" si="2"/>
        <v>40.44</v>
      </c>
      <c r="P39" s="7">
        <v>0.56999999999999995</v>
      </c>
      <c r="Q39" s="5"/>
      <c r="R39" s="5"/>
      <c r="S39" s="7">
        <v>0.19</v>
      </c>
      <c r="T39" s="7">
        <v>0.82</v>
      </c>
      <c r="U39" s="5">
        <v>13</v>
      </c>
      <c r="V39" s="5"/>
      <c r="W39" s="5"/>
      <c r="X39" s="7">
        <v>0.5</v>
      </c>
      <c r="Y39" s="7">
        <v>0.74</v>
      </c>
      <c r="Z39" s="7">
        <v>0.7</v>
      </c>
      <c r="AA39" s="7"/>
      <c r="AB39" s="7"/>
      <c r="AC39" s="7"/>
      <c r="AD39" s="44"/>
      <c r="AE39" s="7">
        <v>0.44</v>
      </c>
      <c r="AF39" s="5">
        <v>265</v>
      </c>
      <c r="AG39" s="5">
        <v>5</v>
      </c>
      <c r="AH39" s="5">
        <v>6130</v>
      </c>
      <c r="AI39" s="7">
        <v>0.11661875793836486</v>
      </c>
    </row>
    <row r="40" spans="2:35" x14ac:dyDescent="0.4">
      <c r="B40" s="4" t="str">
        <f>Population_Input!A41</f>
        <v>Mordor</v>
      </c>
      <c r="C40" s="4" t="str">
        <f>Population_Input!B41</f>
        <v>Lithlad</v>
      </c>
      <c r="D40" s="68">
        <v>12</v>
      </c>
      <c r="E40" s="7">
        <v>0.67</v>
      </c>
      <c r="F40" s="5">
        <v>11</v>
      </c>
      <c r="G40" s="5">
        <v>63</v>
      </c>
      <c r="H40" s="4">
        <f t="shared" si="0"/>
        <v>63.41</v>
      </c>
      <c r="I40" s="5">
        <v>8</v>
      </c>
      <c r="J40" s="7">
        <v>0.69</v>
      </c>
      <c r="K40" s="5">
        <v>2</v>
      </c>
      <c r="L40" s="4">
        <f t="shared" si="1"/>
        <v>100.64</v>
      </c>
      <c r="M40" s="5">
        <v>4</v>
      </c>
      <c r="N40" s="5">
        <v>292</v>
      </c>
      <c r="O40" s="4">
        <f t="shared" si="2"/>
        <v>293.88</v>
      </c>
      <c r="P40" s="7">
        <v>0.22</v>
      </c>
      <c r="Q40" s="5"/>
      <c r="R40" s="5"/>
      <c r="S40" s="7">
        <v>0.24</v>
      </c>
      <c r="T40" s="7">
        <v>0.75</v>
      </c>
      <c r="U40" s="5">
        <v>17</v>
      </c>
      <c r="V40" s="5"/>
      <c r="W40" s="5"/>
      <c r="X40" s="7">
        <v>0.64</v>
      </c>
      <c r="Y40" s="7">
        <v>0.46</v>
      </c>
      <c r="Z40" s="7">
        <v>0.1</v>
      </c>
      <c r="AA40" s="7"/>
      <c r="AB40" s="7"/>
      <c r="AC40" s="7"/>
      <c r="AD40" s="44"/>
      <c r="AE40" s="7">
        <v>0.36</v>
      </c>
      <c r="AF40" s="5">
        <v>5017</v>
      </c>
      <c r="AG40" s="5">
        <v>2</v>
      </c>
      <c r="AH40" s="5">
        <v>120</v>
      </c>
      <c r="AI40" s="7">
        <v>1.7713365539452495E-2</v>
      </c>
    </row>
    <row r="41" spans="2:35" x14ac:dyDescent="0.4">
      <c r="B41" s="4" t="str">
        <f>Population_Input!A42</f>
        <v>Mordor</v>
      </c>
      <c r="C41" s="4" t="str">
        <f>Population_Input!B42</f>
        <v>Nurn</v>
      </c>
      <c r="D41" s="68">
        <v>29</v>
      </c>
      <c r="E41" s="7">
        <v>0.57999999999999996</v>
      </c>
      <c r="F41" s="5">
        <v>0</v>
      </c>
      <c r="G41" s="5">
        <v>56</v>
      </c>
      <c r="H41" s="4">
        <f t="shared" si="0"/>
        <v>37.75</v>
      </c>
      <c r="I41" s="5">
        <v>120</v>
      </c>
      <c r="J41" s="7">
        <v>0.89</v>
      </c>
      <c r="K41" s="5">
        <v>2</v>
      </c>
      <c r="L41" s="4">
        <f t="shared" si="1"/>
        <v>67.42</v>
      </c>
      <c r="M41" s="5">
        <v>4</v>
      </c>
      <c r="N41" s="5">
        <v>658</v>
      </c>
      <c r="O41" s="4">
        <f t="shared" si="2"/>
        <v>443.61</v>
      </c>
      <c r="P41" s="7">
        <v>0.12</v>
      </c>
      <c r="Q41" s="5"/>
      <c r="R41" s="5"/>
      <c r="S41" s="7">
        <v>0.14000000000000001</v>
      </c>
      <c r="T41" s="7">
        <v>0.42</v>
      </c>
      <c r="U41" s="5">
        <v>23</v>
      </c>
      <c r="V41" s="5"/>
      <c r="W41" s="5"/>
      <c r="X41" s="7">
        <v>0.14000000000000001</v>
      </c>
      <c r="Y41" s="7">
        <v>0.74</v>
      </c>
      <c r="Z41" s="7">
        <v>0.37</v>
      </c>
      <c r="AA41" s="7"/>
      <c r="AB41" s="7"/>
      <c r="AC41" s="7"/>
      <c r="AD41" s="44"/>
      <c r="AE41" s="7">
        <v>0.28999999999999998</v>
      </c>
      <c r="AF41" s="5">
        <v>5827</v>
      </c>
      <c r="AG41" s="5">
        <v>3</v>
      </c>
      <c r="AH41" s="5">
        <v>1815</v>
      </c>
      <c r="AI41" s="7">
        <v>0.14043012202521404</v>
      </c>
    </row>
    <row r="42" spans="2:35" x14ac:dyDescent="0.4">
      <c r="B42" s="4" t="str">
        <f>Population_Input!A43</f>
        <v>Mordor</v>
      </c>
      <c r="C42" s="4" t="str">
        <f>Population_Input!B43</f>
        <v>Udun</v>
      </c>
      <c r="D42" s="68">
        <v>4</v>
      </c>
      <c r="E42" s="7">
        <v>0.75</v>
      </c>
      <c r="F42" s="5">
        <v>28</v>
      </c>
      <c r="G42" s="5">
        <v>34</v>
      </c>
      <c r="H42" s="4">
        <f t="shared" si="0"/>
        <v>71.459999999999994</v>
      </c>
      <c r="I42" s="5">
        <v>122</v>
      </c>
      <c r="J42" s="7">
        <v>0.94</v>
      </c>
      <c r="K42" s="5">
        <v>4</v>
      </c>
      <c r="L42" s="4">
        <f t="shared" si="1"/>
        <v>420.34</v>
      </c>
      <c r="M42" s="5">
        <v>3</v>
      </c>
      <c r="N42" s="5">
        <v>572</v>
      </c>
      <c r="O42" s="4">
        <f t="shared" si="2"/>
        <v>1202.19</v>
      </c>
      <c r="P42" s="7">
        <v>0.68</v>
      </c>
      <c r="Q42" s="5"/>
      <c r="R42" s="5"/>
      <c r="S42" s="7">
        <v>0.19</v>
      </c>
      <c r="T42" s="7">
        <v>0.51</v>
      </c>
      <c r="U42" s="5">
        <v>12</v>
      </c>
      <c r="V42" s="5"/>
      <c r="W42" s="5"/>
      <c r="X42" s="7">
        <v>0.4</v>
      </c>
      <c r="Y42" s="7">
        <v>0.61</v>
      </c>
      <c r="Z42" s="7">
        <v>0.55000000000000004</v>
      </c>
      <c r="AA42" s="7"/>
      <c r="AB42" s="7"/>
      <c r="AC42" s="7"/>
      <c r="AD42" s="44"/>
      <c r="AE42" s="7">
        <v>0.63</v>
      </c>
      <c r="AF42" s="5">
        <v>2772</v>
      </c>
      <c r="AG42" s="5">
        <v>4</v>
      </c>
      <c r="AH42" s="5">
        <v>555</v>
      </c>
      <c r="AI42" s="7">
        <v>0.12442202606137033</v>
      </c>
    </row>
    <row r="43" spans="2:35" x14ac:dyDescent="0.4">
      <c r="B43" s="4" t="str">
        <f>Population_Input!A44</f>
        <v>Rhovanion</v>
      </c>
      <c r="C43" s="4" t="str">
        <f>Population_Input!B44</f>
        <v>Dol Guldur</v>
      </c>
      <c r="D43" s="68">
        <v>5</v>
      </c>
      <c r="E43" s="7">
        <v>0.1</v>
      </c>
      <c r="F43" s="5">
        <v>0</v>
      </c>
      <c r="G43" s="5">
        <v>11</v>
      </c>
      <c r="H43" s="4">
        <f t="shared" si="0"/>
        <v>5.07</v>
      </c>
      <c r="I43" s="5">
        <v>24</v>
      </c>
      <c r="J43" s="7">
        <v>0.77</v>
      </c>
      <c r="K43" s="5">
        <v>4</v>
      </c>
      <c r="L43" s="4">
        <f t="shared" si="1"/>
        <v>92.22</v>
      </c>
      <c r="M43" s="5">
        <v>2</v>
      </c>
      <c r="N43" s="5">
        <v>29</v>
      </c>
      <c r="O43" s="4">
        <f t="shared" si="2"/>
        <v>13.37</v>
      </c>
      <c r="P43" s="7">
        <v>0.54</v>
      </c>
      <c r="Q43" s="5"/>
      <c r="R43" s="5"/>
      <c r="S43" s="7">
        <v>0.27</v>
      </c>
      <c r="T43" s="7">
        <v>0.84</v>
      </c>
      <c r="U43" s="5">
        <v>14</v>
      </c>
      <c r="V43" s="5"/>
      <c r="W43" s="5"/>
      <c r="X43" s="7">
        <v>0.96</v>
      </c>
      <c r="Y43" s="7">
        <v>0.54</v>
      </c>
      <c r="Z43" s="7">
        <v>0.4</v>
      </c>
      <c r="AA43" s="7"/>
      <c r="AB43" s="7"/>
      <c r="AC43" s="7"/>
      <c r="AD43" s="44"/>
      <c r="AE43" s="7">
        <v>0.51</v>
      </c>
      <c r="AF43" s="5">
        <v>686</v>
      </c>
      <c r="AG43" s="5">
        <v>2</v>
      </c>
      <c r="AH43" s="5">
        <v>548</v>
      </c>
      <c r="AI43" s="7">
        <v>0.14215234230911103</v>
      </c>
    </row>
    <row r="44" spans="2:35" x14ac:dyDescent="0.4">
      <c r="B44" s="4" t="str">
        <f>Population_Input!A45</f>
        <v>Rhovanion</v>
      </c>
      <c r="C44" s="4" t="str">
        <f>Population_Input!B45</f>
        <v>Iron Hills</v>
      </c>
      <c r="D44" s="68">
        <v>4</v>
      </c>
      <c r="E44" s="7">
        <v>0.22</v>
      </c>
      <c r="F44" s="5">
        <v>8</v>
      </c>
      <c r="G44" s="5">
        <v>50</v>
      </c>
      <c r="H44" s="4">
        <f t="shared" si="0"/>
        <v>6.11</v>
      </c>
      <c r="I44" s="5">
        <v>169</v>
      </c>
      <c r="J44" s="7">
        <v>0.8</v>
      </c>
      <c r="K44" s="5">
        <v>0</v>
      </c>
      <c r="L44" s="4">
        <f t="shared" si="1"/>
        <v>0</v>
      </c>
      <c r="M44" s="5">
        <v>0</v>
      </c>
      <c r="N44" s="5">
        <v>110</v>
      </c>
      <c r="O44" s="4">
        <f t="shared" si="2"/>
        <v>13.44</v>
      </c>
      <c r="P44" s="7">
        <v>0.06</v>
      </c>
      <c r="Q44" s="5"/>
      <c r="R44" s="5"/>
      <c r="S44" s="7">
        <v>0.16</v>
      </c>
      <c r="T44" s="7">
        <v>0.26</v>
      </c>
      <c r="U44" s="5">
        <v>10</v>
      </c>
      <c r="V44" s="5"/>
      <c r="W44" s="5"/>
      <c r="X44" s="7">
        <v>0.95</v>
      </c>
      <c r="Y44" s="7">
        <v>0.59</v>
      </c>
      <c r="Z44" s="7">
        <v>0.99</v>
      </c>
      <c r="AA44" s="7"/>
      <c r="AB44" s="7"/>
      <c r="AC44" s="7"/>
      <c r="AD44" s="44"/>
      <c r="AE44" s="7">
        <v>0.24</v>
      </c>
      <c r="AF44" s="5">
        <v>36270</v>
      </c>
      <c r="AG44" s="5">
        <v>2</v>
      </c>
      <c r="AH44" s="5">
        <v>6900</v>
      </c>
      <c r="AI44" s="7">
        <v>8.9904668785138114E-2</v>
      </c>
    </row>
    <row r="45" spans="2:35" x14ac:dyDescent="0.4">
      <c r="B45" s="4" t="str">
        <f>Population_Input!A46</f>
        <v>Rhovanion</v>
      </c>
      <c r="C45" s="4" t="str">
        <f>Population_Input!B46</f>
        <v>Khazad-dum</v>
      </c>
      <c r="D45" s="68">
        <v>14</v>
      </c>
      <c r="E45" s="7">
        <v>0.56999999999999995</v>
      </c>
      <c r="F45" s="5">
        <v>8</v>
      </c>
      <c r="G45" s="5">
        <v>54</v>
      </c>
      <c r="H45" s="4">
        <f t="shared" si="0"/>
        <v>22.97</v>
      </c>
      <c r="I45" s="5">
        <v>53</v>
      </c>
      <c r="J45" s="7">
        <v>0.95</v>
      </c>
      <c r="K45" s="5">
        <v>1</v>
      </c>
      <c r="L45" s="4">
        <f t="shared" si="1"/>
        <v>21.27</v>
      </c>
      <c r="M45" s="5">
        <v>2</v>
      </c>
      <c r="N45" s="5">
        <v>446</v>
      </c>
      <c r="O45" s="4">
        <f t="shared" si="2"/>
        <v>189.71</v>
      </c>
      <c r="P45" s="7">
        <v>0.65</v>
      </c>
      <c r="Q45" s="5"/>
      <c r="R45" s="5"/>
      <c r="S45" s="7">
        <v>0.15</v>
      </c>
      <c r="T45" s="7">
        <v>0.46</v>
      </c>
      <c r="U45" s="5">
        <v>18</v>
      </c>
      <c r="V45" s="5"/>
      <c r="W45" s="5"/>
      <c r="X45" s="7">
        <v>0.24</v>
      </c>
      <c r="Y45" s="7">
        <v>1</v>
      </c>
      <c r="Z45" s="7">
        <v>0.71</v>
      </c>
      <c r="AA45" s="7"/>
      <c r="AB45" s="7"/>
      <c r="AC45" s="7"/>
      <c r="AD45" s="44"/>
      <c r="AE45" s="7">
        <v>0.99</v>
      </c>
      <c r="AF45" s="5">
        <v>3723</v>
      </c>
      <c r="AG45" s="5">
        <v>5</v>
      </c>
      <c r="AH45" s="5">
        <v>1126</v>
      </c>
      <c r="AI45" s="7">
        <v>8.5201412225105272E-2</v>
      </c>
    </row>
    <row r="46" spans="2:35" x14ac:dyDescent="0.4">
      <c r="B46" s="4" t="str">
        <f>Population_Input!A47</f>
        <v>Rhovanion</v>
      </c>
      <c r="C46" s="4" t="str">
        <f>Population_Input!B47</f>
        <v>Kingdom of Dale</v>
      </c>
      <c r="D46" s="68">
        <v>12</v>
      </c>
      <c r="E46" s="7">
        <v>0.68</v>
      </c>
      <c r="F46" s="5">
        <v>6</v>
      </c>
      <c r="G46" s="5">
        <v>23</v>
      </c>
      <c r="H46" s="4">
        <f t="shared" si="0"/>
        <v>11.67</v>
      </c>
      <c r="I46" s="5">
        <v>70</v>
      </c>
      <c r="J46" s="7">
        <v>0.39</v>
      </c>
      <c r="K46" s="5">
        <v>1</v>
      </c>
      <c r="L46" s="4">
        <f t="shared" si="1"/>
        <v>25.37</v>
      </c>
      <c r="M46" s="5">
        <v>0</v>
      </c>
      <c r="N46" s="5">
        <v>26</v>
      </c>
      <c r="O46" s="4">
        <f t="shared" si="2"/>
        <v>13.19</v>
      </c>
      <c r="P46" s="7">
        <v>0.52</v>
      </c>
      <c r="Q46" s="5"/>
      <c r="R46" s="5"/>
      <c r="S46" s="7">
        <v>0.18</v>
      </c>
      <c r="T46" s="7">
        <v>0.77</v>
      </c>
      <c r="U46" s="5">
        <v>8</v>
      </c>
      <c r="V46" s="5"/>
      <c r="W46" s="5"/>
      <c r="X46" s="7">
        <v>0.7</v>
      </c>
      <c r="Y46" s="7">
        <v>0.34</v>
      </c>
      <c r="Z46" s="7">
        <v>0.36</v>
      </c>
      <c r="AA46" s="7"/>
      <c r="AB46" s="7"/>
      <c r="AC46" s="7"/>
      <c r="AD46" s="44"/>
      <c r="AE46" s="7">
        <v>0.93</v>
      </c>
      <c r="AF46" s="5">
        <v>5229</v>
      </c>
      <c r="AG46" s="5">
        <v>1</v>
      </c>
      <c r="AH46" s="5">
        <v>2455</v>
      </c>
      <c r="AI46" s="7">
        <v>0.12532345628900501</v>
      </c>
    </row>
    <row r="47" spans="2:35" x14ac:dyDescent="0.4">
      <c r="B47" s="4" t="str">
        <f>Population_Input!A48</f>
        <v>Rhovanion</v>
      </c>
      <c r="C47" s="4" t="str">
        <f>Population_Input!B48</f>
        <v>Lonely Mountain</v>
      </c>
      <c r="D47" s="68">
        <v>9</v>
      </c>
      <c r="E47" s="7">
        <v>0.52</v>
      </c>
      <c r="F47" s="5">
        <v>26</v>
      </c>
      <c r="G47" s="5">
        <v>18</v>
      </c>
      <c r="H47" s="4">
        <f t="shared" si="0"/>
        <v>14.83</v>
      </c>
      <c r="I47" s="5">
        <v>26</v>
      </c>
      <c r="J47" s="7">
        <v>0.66</v>
      </c>
      <c r="K47" s="5">
        <v>2</v>
      </c>
      <c r="L47" s="4">
        <f t="shared" si="1"/>
        <v>82.41</v>
      </c>
      <c r="M47" s="5">
        <v>2</v>
      </c>
      <c r="N47" s="5">
        <v>341</v>
      </c>
      <c r="O47" s="4">
        <f t="shared" si="2"/>
        <v>281.02999999999997</v>
      </c>
      <c r="P47" s="7">
        <v>0.54</v>
      </c>
      <c r="Q47" s="5"/>
      <c r="R47" s="5"/>
      <c r="S47" s="7">
        <v>0.18</v>
      </c>
      <c r="T47" s="7">
        <v>0.21</v>
      </c>
      <c r="U47" s="5">
        <v>30</v>
      </c>
      <c r="V47" s="5"/>
      <c r="W47" s="5"/>
      <c r="X47" s="7">
        <v>0.92</v>
      </c>
      <c r="Y47" s="7">
        <v>0.21</v>
      </c>
      <c r="Z47" s="7">
        <v>0.69</v>
      </c>
      <c r="AA47" s="7"/>
      <c r="AB47" s="7"/>
      <c r="AC47" s="7"/>
      <c r="AD47" s="44"/>
      <c r="AE47" s="7">
        <v>0.35</v>
      </c>
      <c r="AF47" s="5">
        <v>1632</v>
      </c>
      <c r="AG47" s="5">
        <v>5</v>
      </c>
      <c r="AH47" s="5">
        <v>1171</v>
      </c>
      <c r="AI47" s="7">
        <v>0.13482775671666392</v>
      </c>
    </row>
    <row r="48" spans="2:35" x14ac:dyDescent="0.4">
      <c r="B48" s="4" t="str">
        <f>Population_Input!A49</f>
        <v>Rhovanion</v>
      </c>
      <c r="C48" s="4" t="str">
        <f>Population_Input!B49</f>
        <v>Lothlorien</v>
      </c>
      <c r="D48" s="68">
        <v>22</v>
      </c>
      <c r="E48" s="7">
        <v>0.89</v>
      </c>
      <c r="F48" s="5">
        <v>3</v>
      </c>
      <c r="G48" s="5">
        <v>26</v>
      </c>
      <c r="H48" s="4">
        <f t="shared" si="0"/>
        <v>4.83</v>
      </c>
      <c r="I48" s="5">
        <v>217</v>
      </c>
      <c r="J48" s="7">
        <v>0.68</v>
      </c>
      <c r="K48" s="5">
        <v>2</v>
      </c>
      <c r="L48" s="4">
        <f t="shared" si="1"/>
        <v>18.57</v>
      </c>
      <c r="M48" s="5">
        <v>1</v>
      </c>
      <c r="N48" s="5">
        <v>468</v>
      </c>
      <c r="O48" s="4">
        <f t="shared" si="2"/>
        <v>86.91</v>
      </c>
      <c r="P48" s="7">
        <v>0.56999999999999995</v>
      </c>
      <c r="Q48" s="5"/>
      <c r="R48" s="5"/>
      <c r="S48" s="7">
        <v>0.23</v>
      </c>
      <c r="T48" s="7">
        <v>0.96</v>
      </c>
      <c r="U48" s="5">
        <v>27</v>
      </c>
      <c r="V48" s="5"/>
      <c r="W48" s="5"/>
      <c r="X48" s="7">
        <v>0.67</v>
      </c>
      <c r="Y48" s="7">
        <v>0.91</v>
      </c>
      <c r="Z48" s="7">
        <v>0.25</v>
      </c>
      <c r="AA48" s="7"/>
      <c r="AB48" s="7"/>
      <c r="AC48" s="7"/>
      <c r="AD48" s="44"/>
      <c r="AE48" s="7">
        <v>0.36</v>
      </c>
      <c r="AF48" s="5">
        <v>9460</v>
      </c>
      <c r="AG48" s="5">
        <v>5</v>
      </c>
      <c r="AH48" s="5">
        <v>1134</v>
      </c>
      <c r="AI48" s="7">
        <v>0.11815176614790328</v>
      </c>
    </row>
    <row r="49" spans="2:35" x14ac:dyDescent="0.4">
      <c r="B49" s="4" t="str">
        <f>Population_Input!A50</f>
        <v>Rhovanion</v>
      </c>
      <c r="C49" s="4" t="str">
        <f>Population_Input!B50</f>
        <v>Woodland Realm</v>
      </c>
      <c r="D49" s="68">
        <v>12</v>
      </c>
      <c r="E49" s="7">
        <v>0.94</v>
      </c>
      <c r="F49" s="5">
        <v>23</v>
      </c>
      <c r="G49" s="5">
        <v>55</v>
      </c>
      <c r="H49" s="4">
        <f t="shared" si="0"/>
        <v>46.9</v>
      </c>
      <c r="I49" s="5">
        <v>247</v>
      </c>
      <c r="J49" s="7">
        <v>0.6</v>
      </c>
      <c r="K49" s="5">
        <v>3</v>
      </c>
      <c r="L49" s="4">
        <f t="shared" si="1"/>
        <v>127.9</v>
      </c>
      <c r="M49" s="5">
        <v>3</v>
      </c>
      <c r="N49" s="5">
        <v>111</v>
      </c>
      <c r="O49" s="4">
        <f t="shared" si="2"/>
        <v>94.65</v>
      </c>
      <c r="P49" s="7">
        <v>0.11</v>
      </c>
      <c r="Q49" s="5"/>
      <c r="R49" s="5"/>
      <c r="S49" s="7">
        <v>0.16</v>
      </c>
      <c r="T49" s="7">
        <v>0.46</v>
      </c>
      <c r="U49" s="5">
        <v>4</v>
      </c>
      <c r="V49" s="5"/>
      <c r="W49" s="5"/>
      <c r="X49" s="7">
        <v>0.16</v>
      </c>
      <c r="Y49" s="7">
        <v>0.63</v>
      </c>
      <c r="Z49" s="7">
        <v>0.35</v>
      </c>
      <c r="AA49" s="7"/>
      <c r="AB49" s="7"/>
      <c r="AC49" s="7"/>
      <c r="AD49" s="44"/>
      <c r="AE49" s="7">
        <v>0.45</v>
      </c>
      <c r="AF49" s="5">
        <v>4774</v>
      </c>
      <c r="AG49" s="5">
        <v>4</v>
      </c>
      <c r="AH49" s="5">
        <v>503</v>
      </c>
      <c r="AI49" s="7">
        <v>9.302523874488404E-2</v>
      </c>
    </row>
    <row r="50" spans="2:35" x14ac:dyDescent="0.4">
      <c r="B50" s="4" t="str">
        <f>Population_Input!A51</f>
        <v>Rhun</v>
      </c>
      <c r="C50" s="4" t="str">
        <f>Population_Input!B51</f>
        <v>Cuivienen</v>
      </c>
      <c r="D50" s="68">
        <v>13</v>
      </c>
      <c r="E50" s="7">
        <v>0.69</v>
      </c>
      <c r="F50" s="5">
        <v>0</v>
      </c>
      <c r="G50" s="5">
        <v>22</v>
      </c>
      <c r="H50" s="4">
        <f t="shared" si="0"/>
        <v>0.91</v>
      </c>
      <c r="I50" s="5">
        <v>28</v>
      </c>
      <c r="J50" s="7">
        <v>0.52</v>
      </c>
      <c r="K50" s="5">
        <v>2</v>
      </c>
      <c r="L50" s="4">
        <f t="shared" si="1"/>
        <v>4.13</v>
      </c>
      <c r="M50" s="5">
        <v>1</v>
      </c>
      <c r="N50" s="5">
        <v>66</v>
      </c>
      <c r="O50" s="4">
        <f t="shared" si="2"/>
        <v>2.73</v>
      </c>
      <c r="P50" s="7">
        <v>0.7</v>
      </c>
      <c r="Q50" s="5"/>
      <c r="R50" s="5"/>
      <c r="S50" s="7">
        <v>0.12</v>
      </c>
      <c r="T50" s="7">
        <v>0.63</v>
      </c>
      <c r="U50" s="5">
        <v>21</v>
      </c>
      <c r="V50" s="5"/>
      <c r="W50" s="5"/>
      <c r="X50" s="7">
        <v>0.51</v>
      </c>
      <c r="Y50" s="7">
        <v>0.98</v>
      </c>
      <c r="Z50" s="7">
        <v>0.56999999999999995</v>
      </c>
      <c r="AA50" s="7"/>
      <c r="AB50" s="7"/>
      <c r="AC50" s="7"/>
      <c r="AD50" s="44"/>
      <c r="AE50" s="7">
        <v>0.87</v>
      </c>
      <c r="AF50" s="5">
        <v>208277</v>
      </c>
      <c r="AG50" s="5">
        <v>4</v>
      </c>
      <c r="AH50" s="5">
        <v>20244</v>
      </c>
      <c r="AI50" s="7">
        <v>0.11666123032077193</v>
      </c>
    </row>
    <row r="51" spans="2:35" x14ac:dyDescent="0.4">
      <c r="B51" s="4" t="str">
        <f>Population_Input!A52</f>
        <v>Rhun</v>
      </c>
      <c r="C51" s="4" t="str">
        <f>Population_Input!B52</f>
        <v>Dorwinion</v>
      </c>
      <c r="D51" s="68">
        <v>6</v>
      </c>
      <c r="E51" s="7">
        <v>0.38</v>
      </c>
      <c r="F51" s="5">
        <v>18</v>
      </c>
      <c r="G51" s="5">
        <v>36</v>
      </c>
      <c r="H51" s="4">
        <f t="shared" si="0"/>
        <v>14.54</v>
      </c>
      <c r="I51" s="5">
        <v>0</v>
      </c>
      <c r="J51" s="7">
        <v>0.28999999999999998</v>
      </c>
      <c r="K51" s="5">
        <v>4</v>
      </c>
      <c r="L51" s="4">
        <f t="shared" si="1"/>
        <v>80.8</v>
      </c>
      <c r="M51" s="5">
        <v>0</v>
      </c>
      <c r="N51" s="5">
        <v>168</v>
      </c>
      <c r="O51" s="4">
        <f t="shared" si="2"/>
        <v>67.87</v>
      </c>
      <c r="P51" s="7">
        <v>0.63</v>
      </c>
      <c r="Q51" s="5"/>
      <c r="R51" s="5"/>
      <c r="S51" s="7">
        <v>0.28000000000000003</v>
      </c>
      <c r="T51" s="7">
        <v>0.21</v>
      </c>
      <c r="U51" s="5">
        <v>12</v>
      </c>
      <c r="V51" s="5"/>
      <c r="W51" s="5"/>
      <c r="X51" s="7">
        <v>0.22</v>
      </c>
      <c r="Y51" s="7">
        <v>0.57999999999999996</v>
      </c>
      <c r="Z51" s="7">
        <v>0.22</v>
      </c>
      <c r="AA51" s="7"/>
      <c r="AB51" s="7"/>
      <c r="AC51" s="7"/>
      <c r="AD51" s="44"/>
      <c r="AE51" s="7">
        <v>0.81</v>
      </c>
      <c r="AF51" s="5">
        <v>2049</v>
      </c>
      <c r="AG51" s="5">
        <v>2</v>
      </c>
      <c r="AH51" s="5">
        <v>1423</v>
      </c>
      <c r="AI51" s="7">
        <v>0.12939322937707037</v>
      </c>
    </row>
    <row r="52" spans="2:35" x14ac:dyDescent="0.4">
      <c r="B52" s="4" t="str">
        <f>Population_Input!A53</f>
        <v>Rhun</v>
      </c>
      <c r="C52" s="4" t="str">
        <f>Population_Input!B53</f>
        <v>Hildorien</v>
      </c>
      <c r="D52" s="68">
        <v>11</v>
      </c>
      <c r="E52" s="7">
        <v>0.34</v>
      </c>
      <c r="F52" s="5">
        <v>19</v>
      </c>
      <c r="G52" s="5">
        <v>31</v>
      </c>
      <c r="H52" s="4">
        <f t="shared" si="0"/>
        <v>14.98</v>
      </c>
      <c r="I52" s="5">
        <v>152</v>
      </c>
      <c r="J52" s="7">
        <v>0.72</v>
      </c>
      <c r="K52" s="5">
        <v>1</v>
      </c>
      <c r="L52" s="4">
        <f t="shared" si="1"/>
        <v>24.15</v>
      </c>
      <c r="M52" s="5">
        <v>1</v>
      </c>
      <c r="N52" s="5">
        <v>447</v>
      </c>
      <c r="O52" s="4">
        <f t="shared" si="2"/>
        <v>215.94</v>
      </c>
      <c r="P52" s="7">
        <v>0.37</v>
      </c>
      <c r="Q52" s="5"/>
      <c r="R52" s="5"/>
      <c r="S52" s="7">
        <v>0.18</v>
      </c>
      <c r="T52" s="7">
        <v>0.84</v>
      </c>
      <c r="U52" s="5">
        <v>2</v>
      </c>
      <c r="V52" s="5"/>
      <c r="W52" s="5"/>
      <c r="X52" s="7">
        <v>0.69</v>
      </c>
      <c r="Y52" s="7">
        <v>0.01</v>
      </c>
      <c r="Z52" s="7">
        <v>0.84</v>
      </c>
      <c r="AA52" s="7"/>
      <c r="AB52" s="7"/>
      <c r="AC52" s="7"/>
      <c r="AD52" s="44"/>
      <c r="AE52" s="7">
        <v>0.41</v>
      </c>
      <c r="AF52" s="5">
        <v>7458</v>
      </c>
      <c r="AG52" s="5">
        <v>5</v>
      </c>
      <c r="AH52" s="5">
        <v>2573</v>
      </c>
      <c r="AI52" s="7">
        <v>0.13130434782608696</v>
      </c>
    </row>
    <row r="53" spans="2:35" x14ac:dyDescent="0.4">
      <c r="B53" s="4" t="str">
        <f>Population_Input!A54</f>
        <v>Rhun</v>
      </c>
      <c r="C53" s="4" t="str">
        <f>Population_Input!B54</f>
        <v>Wild Wood</v>
      </c>
      <c r="D53" s="68">
        <v>16</v>
      </c>
      <c r="E53" s="7">
        <v>0.36</v>
      </c>
      <c r="F53" s="5">
        <v>5</v>
      </c>
      <c r="G53" s="5">
        <v>63</v>
      </c>
      <c r="H53" s="4">
        <f t="shared" si="0"/>
        <v>109.57</v>
      </c>
      <c r="I53" s="5">
        <v>182</v>
      </c>
      <c r="J53" s="7">
        <v>0.5</v>
      </c>
      <c r="K53" s="5">
        <v>4</v>
      </c>
      <c r="L53" s="4">
        <f t="shared" si="1"/>
        <v>347.83</v>
      </c>
      <c r="M53" s="5">
        <v>1</v>
      </c>
      <c r="N53" s="5">
        <v>620</v>
      </c>
      <c r="O53" s="4">
        <f t="shared" si="2"/>
        <v>1078.26</v>
      </c>
      <c r="P53" s="7">
        <v>0.59</v>
      </c>
      <c r="Q53" s="5"/>
      <c r="R53" s="5"/>
      <c r="S53" s="7">
        <v>0.28000000000000003</v>
      </c>
      <c r="T53" s="7">
        <v>0.34</v>
      </c>
      <c r="U53" s="5">
        <v>4</v>
      </c>
      <c r="V53" s="5"/>
      <c r="W53" s="5"/>
      <c r="X53" s="7">
        <v>0.14000000000000001</v>
      </c>
      <c r="Y53" s="7">
        <v>0.34</v>
      </c>
      <c r="Z53" s="7">
        <v>0.04</v>
      </c>
      <c r="AA53" s="7"/>
      <c r="AB53" s="7"/>
      <c r="AC53" s="7"/>
      <c r="AD53" s="44"/>
      <c r="AE53" s="7">
        <v>0.73</v>
      </c>
      <c r="AF53" s="5">
        <v>4955</v>
      </c>
      <c r="AG53" s="5">
        <v>2</v>
      </c>
      <c r="AH53" s="5">
        <v>504</v>
      </c>
      <c r="AI53" s="7">
        <v>0.10434782608695652</v>
      </c>
    </row>
    <row r="54" spans="2:35" x14ac:dyDescent="0.4">
      <c r="B54" s="4" t="str">
        <f>Population_Input!A55</f>
        <v>Rohan</v>
      </c>
      <c r="C54" s="4" t="str">
        <f>Population_Input!B55</f>
        <v>Eastemnet</v>
      </c>
      <c r="D54" s="68">
        <v>21</v>
      </c>
      <c r="E54" s="7">
        <v>0.61</v>
      </c>
      <c r="F54" s="5">
        <v>22</v>
      </c>
      <c r="G54" s="5">
        <v>65</v>
      </c>
      <c r="H54" s="4">
        <f t="shared" si="0"/>
        <v>11.94</v>
      </c>
      <c r="I54" s="5">
        <v>12</v>
      </c>
      <c r="J54" s="7">
        <v>0.84</v>
      </c>
      <c r="K54" s="5">
        <v>3</v>
      </c>
      <c r="L54" s="4">
        <f t="shared" si="1"/>
        <v>27.55</v>
      </c>
      <c r="M54" s="5">
        <v>1</v>
      </c>
      <c r="N54" s="5">
        <v>192</v>
      </c>
      <c r="O54" s="4">
        <f t="shared" si="2"/>
        <v>35.270000000000003</v>
      </c>
      <c r="P54" s="7">
        <v>0.01</v>
      </c>
      <c r="Q54" s="5"/>
      <c r="R54" s="5"/>
      <c r="S54" s="7">
        <v>0.28999999999999998</v>
      </c>
      <c r="T54" s="7">
        <v>0.38</v>
      </c>
      <c r="U54" s="5">
        <v>19</v>
      </c>
      <c r="V54" s="5"/>
      <c r="W54" s="5"/>
      <c r="X54" s="7">
        <v>0.32</v>
      </c>
      <c r="Y54" s="7">
        <v>0.42</v>
      </c>
      <c r="Z54" s="7">
        <v>0.89</v>
      </c>
      <c r="AA54" s="7"/>
      <c r="AB54" s="7"/>
      <c r="AC54" s="7"/>
      <c r="AD54" s="44"/>
      <c r="AE54" s="7">
        <v>0.98</v>
      </c>
      <c r="AF54" s="5">
        <v>1253</v>
      </c>
      <c r="AG54" s="5">
        <v>2</v>
      </c>
      <c r="AH54" s="5">
        <v>164</v>
      </c>
      <c r="AI54" s="7">
        <v>0.1408916401844266</v>
      </c>
    </row>
    <row r="55" spans="2:35" x14ac:dyDescent="0.4">
      <c r="B55" s="4" t="str">
        <f>Population_Input!A56</f>
        <v>Rohan</v>
      </c>
      <c r="C55" s="4" t="str">
        <f>Population_Input!B56</f>
        <v>Eastfold</v>
      </c>
      <c r="D55" s="68">
        <v>19</v>
      </c>
      <c r="E55" s="7">
        <v>0.93</v>
      </c>
      <c r="F55" s="5">
        <v>1</v>
      </c>
      <c r="G55" s="5">
        <v>42</v>
      </c>
      <c r="H55" s="4">
        <f t="shared" si="0"/>
        <v>42.33</v>
      </c>
      <c r="I55" s="5">
        <v>95</v>
      </c>
      <c r="J55" s="7">
        <v>0.39</v>
      </c>
      <c r="K55" s="5">
        <v>0</v>
      </c>
      <c r="L55" s="4">
        <f t="shared" si="1"/>
        <v>0</v>
      </c>
      <c r="M55" s="5">
        <v>0</v>
      </c>
      <c r="N55" s="5">
        <v>537</v>
      </c>
      <c r="O55" s="4">
        <f t="shared" si="2"/>
        <v>541.28</v>
      </c>
      <c r="P55" s="7">
        <v>0.72</v>
      </c>
      <c r="Q55" s="5"/>
      <c r="R55" s="5"/>
      <c r="S55" s="7">
        <v>0.28999999999999998</v>
      </c>
      <c r="T55" s="7">
        <v>0.18</v>
      </c>
      <c r="U55" s="5">
        <v>29</v>
      </c>
      <c r="V55" s="5"/>
      <c r="W55" s="5"/>
      <c r="X55" s="7">
        <v>0.6</v>
      </c>
      <c r="Y55" s="7">
        <v>0.99</v>
      </c>
      <c r="Z55" s="7">
        <v>0.34</v>
      </c>
      <c r="AA55" s="7"/>
      <c r="AB55" s="7"/>
      <c r="AC55" s="7"/>
      <c r="AD55" s="44"/>
      <c r="AE55" s="7">
        <v>0.96</v>
      </c>
      <c r="AF55" s="5">
        <v>4979</v>
      </c>
      <c r="AG55" s="5">
        <v>2</v>
      </c>
      <c r="AH55" s="5">
        <v>1190</v>
      </c>
      <c r="AI55" s="7">
        <v>0.1232738635218224</v>
      </c>
    </row>
    <row r="56" spans="2:35" x14ac:dyDescent="0.4">
      <c r="B56" s="4" t="str">
        <f>Population_Input!A57</f>
        <v>Rohan</v>
      </c>
      <c r="C56" s="4" t="str">
        <f>Population_Input!B57</f>
        <v>Folde</v>
      </c>
      <c r="D56" s="68">
        <v>10</v>
      </c>
      <c r="E56" s="7">
        <v>0.96</v>
      </c>
      <c r="F56" s="5">
        <v>25</v>
      </c>
      <c r="G56" s="5">
        <v>51</v>
      </c>
      <c r="H56" s="4">
        <f t="shared" si="0"/>
        <v>52.23</v>
      </c>
      <c r="I56" s="5">
        <v>24</v>
      </c>
      <c r="J56" s="7">
        <v>0.79</v>
      </c>
      <c r="K56" s="5">
        <v>4</v>
      </c>
      <c r="L56" s="4">
        <f t="shared" si="1"/>
        <v>204.83</v>
      </c>
      <c r="M56" s="5">
        <v>4</v>
      </c>
      <c r="N56" s="5">
        <v>206</v>
      </c>
      <c r="O56" s="4">
        <f t="shared" si="2"/>
        <v>210.98</v>
      </c>
      <c r="P56" s="7">
        <v>0.13</v>
      </c>
      <c r="Q56" s="5"/>
      <c r="R56" s="5"/>
      <c r="S56" s="7">
        <v>0.26</v>
      </c>
      <c r="T56" s="7">
        <v>0.93</v>
      </c>
      <c r="U56" s="5">
        <v>21</v>
      </c>
      <c r="V56" s="5"/>
      <c r="W56" s="5"/>
      <c r="X56" s="7">
        <v>0.96</v>
      </c>
      <c r="Y56" s="7">
        <v>0.71</v>
      </c>
      <c r="Z56" s="7">
        <v>0.33</v>
      </c>
      <c r="AA56" s="7"/>
      <c r="AB56" s="7"/>
      <c r="AC56" s="7"/>
      <c r="AD56" s="7"/>
      <c r="AE56" s="7">
        <v>0.56999999999999995</v>
      </c>
      <c r="AF56" s="5">
        <v>9351</v>
      </c>
      <c r="AG56" s="5">
        <v>2</v>
      </c>
      <c r="AH56" s="5">
        <v>834</v>
      </c>
      <c r="AI56" s="7">
        <v>0.10548955346169603</v>
      </c>
    </row>
    <row r="57" spans="2:35" x14ac:dyDescent="0.4">
      <c r="B57" s="4" t="str">
        <f>Population_Input!A58</f>
        <v>Rohan</v>
      </c>
      <c r="C57" s="4" t="str">
        <f>Population_Input!B58</f>
        <v>The Wold</v>
      </c>
      <c r="D57" s="68">
        <v>4</v>
      </c>
      <c r="E57" s="7">
        <v>0.7</v>
      </c>
      <c r="F57" s="5">
        <v>26</v>
      </c>
      <c r="G57" s="5">
        <v>63</v>
      </c>
      <c r="H57" s="4">
        <f t="shared" si="0"/>
        <v>94.52</v>
      </c>
      <c r="I57" s="5">
        <v>219</v>
      </c>
      <c r="J57" s="7">
        <v>0.54</v>
      </c>
      <c r="K57" s="5">
        <v>4</v>
      </c>
      <c r="L57" s="4">
        <f t="shared" si="1"/>
        <v>300.08</v>
      </c>
      <c r="M57" s="5">
        <v>0</v>
      </c>
      <c r="N57" s="5">
        <v>551</v>
      </c>
      <c r="O57" s="4">
        <f t="shared" si="2"/>
        <v>826.71</v>
      </c>
      <c r="P57" s="7">
        <v>0.48</v>
      </c>
      <c r="Q57" s="5"/>
      <c r="R57" s="5"/>
      <c r="S57" s="7">
        <v>0.12</v>
      </c>
      <c r="T57" s="7">
        <v>0.86</v>
      </c>
      <c r="U57" s="5">
        <v>28</v>
      </c>
      <c r="V57" s="5"/>
      <c r="W57" s="5"/>
      <c r="X57" s="7">
        <v>0.88</v>
      </c>
      <c r="Y57" s="7">
        <v>0.35</v>
      </c>
      <c r="Z57" s="7">
        <v>0.69</v>
      </c>
      <c r="AA57" s="7"/>
      <c r="AB57" s="7"/>
      <c r="AC57" s="7"/>
      <c r="AD57" s="7"/>
      <c r="AE57" s="7">
        <v>0.4</v>
      </c>
      <c r="AF57" s="5">
        <v>5135</v>
      </c>
      <c r="AG57" s="5">
        <v>5</v>
      </c>
      <c r="AH57" s="5">
        <v>943</v>
      </c>
      <c r="AI57" s="7">
        <v>0.1414853713428357</v>
      </c>
    </row>
    <row r="58" spans="2:35" x14ac:dyDescent="0.4">
      <c r="B58" s="4" t="str">
        <f>Population_Input!A59</f>
        <v>Rohan</v>
      </c>
      <c r="C58" s="4" t="str">
        <f>Population_Input!B59</f>
        <v>Westemnet</v>
      </c>
      <c r="D58" s="68">
        <v>6</v>
      </c>
      <c r="E58" s="7">
        <v>0.88</v>
      </c>
      <c r="F58" s="5">
        <v>23</v>
      </c>
      <c r="G58" s="5">
        <v>58</v>
      </c>
      <c r="H58" s="4">
        <f t="shared" si="0"/>
        <v>9.9700000000000006</v>
      </c>
      <c r="I58" s="5">
        <v>53</v>
      </c>
      <c r="J58" s="7">
        <v>0.5</v>
      </c>
      <c r="K58" s="5">
        <v>1</v>
      </c>
      <c r="L58" s="4">
        <f t="shared" si="1"/>
        <v>8.6</v>
      </c>
      <c r="M58" s="5">
        <v>4</v>
      </c>
      <c r="N58" s="5">
        <v>525</v>
      </c>
      <c r="O58" s="4">
        <f t="shared" si="2"/>
        <v>90.27</v>
      </c>
      <c r="P58" s="7">
        <v>0.64</v>
      </c>
      <c r="Q58" s="5"/>
      <c r="R58" s="5"/>
      <c r="S58" s="7">
        <v>0.16</v>
      </c>
      <c r="T58" s="7">
        <v>0.54</v>
      </c>
      <c r="U58" s="5">
        <v>29</v>
      </c>
      <c r="V58" s="5"/>
      <c r="W58" s="5"/>
      <c r="X58" s="7">
        <v>0.96</v>
      </c>
      <c r="Y58" s="7">
        <v>0.02</v>
      </c>
      <c r="Z58" s="7">
        <v>0.26</v>
      </c>
      <c r="AA58" s="7"/>
      <c r="AB58" s="7"/>
      <c r="AC58" s="7"/>
      <c r="AD58" s="7"/>
      <c r="AE58" s="7">
        <v>0.28999999999999998</v>
      </c>
      <c r="AF58" s="5">
        <v>21802</v>
      </c>
      <c r="AG58" s="5">
        <v>1</v>
      </c>
      <c r="AH58" s="5">
        <v>2003</v>
      </c>
      <c r="AI58" s="7">
        <v>6.1882081878986916E-2</v>
      </c>
    </row>
    <row r="59" spans="2:35" x14ac:dyDescent="0.4">
      <c r="B59" s="4" t="str">
        <f>Population_Input!A60</f>
        <v>Rohan</v>
      </c>
      <c r="C59" s="4" t="str">
        <f>Population_Input!B60</f>
        <v>Westfold</v>
      </c>
      <c r="D59" s="68">
        <v>15</v>
      </c>
      <c r="E59" s="7">
        <v>0.98</v>
      </c>
      <c r="F59" s="5">
        <v>17</v>
      </c>
      <c r="G59" s="5">
        <v>75</v>
      </c>
      <c r="H59" s="4">
        <f t="shared" si="0"/>
        <v>86.12</v>
      </c>
      <c r="I59" s="5">
        <v>86</v>
      </c>
      <c r="J59" s="7">
        <v>0.44</v>
      </c>
      <c r="K59" s="5">
        <v>4</v>
      </c>
      <c r="L59" s="4">
        <f t="shared" si="1"/>
        <v>229.65</v>
      </c>
      <c r="M59" s="5">
        <v>4</v>
      </c>
      <c r="N59" s="5">
        <v>106</v>
      </c>
      <c r="O59" s="4">
        <f t="shared" si="2"/>
        <v>121.71</v>
      </c>
      <c r="P59" s="7">
        <v>0.47</v>
      </c>
      <c r="Q59" s="5"/>
      <c r="R59" s="5"/>
      <c r="S59" s="7">
        <v>0.2</v>
      </c>
      <c r="T59" s="7">
        <v>0.92</v>
      </c>
      <c r="U59" s="5">
        <v>29</v>
      </c>
      <c r="V59" s="5"/>
      <c r="W59" s="5"/>
      <c r="X59" s="7">
        <v>0.39</v>
      </c>
      <c r="Y59" s="7">
        <v>0.46</v>
      </c>
      <c r="Z59" s="7">
        <v>0.36</v>
      </c>
      <c r="AA59" s="7"/>
      <c r="AB59" s="7"/>
      <c r="AC59" s="7"/>
      <c r="AD59" s="7"/>
      <c r="AE59" s="7">
        <v>0.4</v>
      </c>
      <c r="AF59" s="5">
        <v>1978</v>
      </c>
      <c r="AG59" s="5">
        <v>4</v>
      </c>
      <c r="AH59" s="5">
        <v>516</v>
      </c>
      <c r="AI59" s="7">
        <v>0.10873808703639913</v>
      </c>
    </row>
  </sheetData>
  <autoFilter ref="A3:AX55" xr:uid="{C43B8858-CF90-8A48-9AB3-9E62E458AA8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A3D88-6D35-E840-BBBF-7B58613B916E}">
  <sheetPr>
    <tabColor rgb="FF92D050"/>
  </sheetPr>
  <dimension ref="C2:AN61"/>
  <sheetViews>
    <sheetView showGridLines="0" zoomScale="108" workbookViewId="0">
      <pane xSplit="4" ySplit="4" topLeftCell="E5" activePane="bottomRight" state="frozen"/>
      <selection pane="topRight" activeCell="D1" sqref="D1"/>
      <selection pane="bottomLeft" activeCell="A4" sqref="A4"/>
      <selection pane="bottomRight" activeCell="T6" sqref="T6:U6"/>
    </sheetView>
  </sheetViews>
  <sheetFormatPr defaultColWidth="10.8125" defaultRowHeight="15.4" x14ac:dyDescent="0.4"/>
  <cols>
    <col min="1" max="2" width="10.8125" style="1"/>
    <col min="3" max="3" width="16.1875" style="1" customWidth="1"/>
    <col min="4" max="4" width="25.1875" style="1" customWidth="1"/>
    <col min="5" max="12" width="16.3125" style="1" customWidth="1"/>
    <col min="13" max="13" width="2.3125" style="1" customWidth="1"/>
    <col min="14" max="18" width="16.3125" style="1" customWidth="1"/>
    <col min="19" max="19" width="2.3125" style="1" customWidth="1"/>
    <col min="20" max="21" width="16.3125" style="1" customWidth="1"/>
    <col min="22" max="22" width="1.8125" style="1" customWidth="1"/>
    <col min="23" max="26" width="16.3125" style="1" customWidth="1"/>
    <col min="27" max="27" width="2.3125" style="1" customWidth="1"/>
    <col min="28" max="35" width="16.3125" style="1" customWidth="1"/>
    <col min="36" max="36" width="2.3125" style="1" customWidth="1"/>
    <col min="37" max="38" width="16.3125" style="1" customWidth="1"/>
    <col min="39" max="39" width="2.3125" style="1" customWidth="1"/>
    <col min="40" max="40" width="16.3125" style="1" customWidth="1"/>
    <col min="41" max="16384" width="10.8125" style="1"/>
  </cols>
  <sheetData>
    <row r="2" spans="3:40" x14ac:dyDescent="0.4">
      <c r="E2" s="3" t="s">
        <v>12</v>
      </c>
      <c r="F2" s="3" t="s">
        <v>12</v>
      </c>
      <c r="G2" s="3" t="s">
        <v>12</v>
      </c>
      <c r="H2" s="3" t="s">
        <v>12</v>
      </c>
      <c r="I2" s="3" t="s">
        <v>12</v>
      </c>
      <c r="J2" s="3" t="s">
        <v>12</v>
      </c>
      <c r="K2" s="3" t="s">
        <v>12</v>
      </c>
      <c r="L2" s="3" t="s">
        <v>12</v>
      </c>
      <c r="M2" s="37"/>
      <c r="N2" s="3" t="s">
        <v>12</v>
      </c>
      <c r="O2" s="3" t="s">
        <v>12</v>
      </c>
      <c r="P2" s="3" t="s">
        <v>12</v>
      </c>
      <c r="Q2" s="3" t="s">
        <v>12</v>
      </c>
      <c r="R2" s="3" t="s">
        <v>12</v>
      </c>
      <c r="S2" s="37"/>
      <c r="T2" s="3" t="s">
        <v>12</v>
      </c>
      <c r="U2" s="3" t="s">
        <v>12</v>
      </c>
      <c r="V2" s="39"/>
      <c r="W2" s="3" t="s">
        <v>13</v>
      </c>
      <c r="X2" s="3" t="s">
        <v>13</v>
      </c>
      <c r="Y2" s="3" t="s">
        <v>13</v>
      </c>
      <c r="Z2" s="3" t="s">
        <v>13</v>
      </c>
      <c r="AA2" s="37"/>
      <c r="AB2" s="3" t="s">
        <v>13</v>
      </c>
      <c r="AC2" s="3" t="s">
        <v>13</v>
      </c>
      <c r="AD2" s="3" t="s">
        <v>13</v>
      </c>
      <c r="AE2" s="3" t="s">
        <v>13</v>
      </c>
      <c r="AF2" s="3" t="s">
        <v>13</v>
      </c>
      <c r="AG2" s="3" t="s">
        <v>13</v>
      </c>
      <c r="AH2" s="3" t="s">
        <v>13</v>
      </c>
      <c r="AI2" s="3" t="s">
        <v>13</v>
      </c>
      <c r="AJ2" s="37"/>
      <c r="AK2" s="3" t="s">
        <v>13</v>
      </c>
      <c r="AL2" s="3" t="s">
        <v>13</v>
      </c>
      <c r="AM2" s="78"/>
      <c r="AN2" s="3" t="s">
        <v>350</v>
      </c>
    </row>
    <row r="3" spans="3:40" ht="117" x14ac:dyDescent="0.4">
      <c r="E3" s="64" t="s">
        <v>73</v>
      </c>
      <c r="F3" s="64" t="s">
        <v>119</v>
      </c>
      <c r="G3" s="64" t="s">
        <v>122</v>
      </c>
      <c r="H3" s="64" t="s">
        <v>124</v>
      </c>
      <c r="I3" s="64" t="s">
        <v>135</v>
      </c>
      <c r="J3" s="64" t="s">
        <v>138</v>
      </c>
      <c r="K3" s="64" t="s">
        <v>140</v>
      </c>
      <c r="L3" s="64" t="s">
        <v>167</v>
      </c>
      <c r="M3" s="37"/>
      <c r="N3" s="64" t="s">
        <v>66</v>
      </c>
      <c r="O3" s="64" t="s">
        <v>78</v>
      </c>
      <c r="P3" s="64" t="s">
        <v>104</v>
      </c>
      <c r="Q3" s="64" t="s">
        <v>104</v>
      </c>
      <c r="R3" s="64" t="s">
        <v>104</v>
      </c>
      <c r="S3" s="37"/>
      <c r="T3" s="3" t="s">
        <v>252</v>
      </c>
      <c r="U3" s="3" t="s">
        <v>249</v>
      </c>
      <c r="V3" s="39"/>
      <c r="W3" s="3" t="s">
        <v>255</v>
      </c>
      <c r="X3" s="35" t="s">
        <v>119</v>
      </c>
      <c r="Y3" s="3" t="s">
        <v>135</v>
      </c>
      <c r="Z3" s="35" t="s">
        <v>140</v>
      </c>
      <c r="AA3" s="37"/>
      <c r="AB3" s="63" t="s">
        <v>78</v>
      </c>
      <c r="AC3" s="63" t="s">
        <v>92</v>
      </c>
      <c r="AD3" s="63" t="s">
        <v>104</v>
      </c>
      <c r="AE3" s="63" t="s">
        <v>104</v>
      </c>
      <c r="AF3" s="63" t="s">
        <v>104</v>
      </c>
      <c r="AG3" s="63" t="s">
        <v>377</v>
      </c>
      <c r="AH3" s="63" t="s">
        <v>378</v>
      </c>
      <c r="AI3" s="63" t="s">
        <v>379</v>
      </c>
      <c r="AJ3" s="37"/>
      <c r="AK3" s="3" t="s">
        <v>245</v>
      </c>
      <c r="AL3" s="3" t="s">
        <v>246</v>
      </c>
      <c r="AM3" s="78"/>
      <c r="AN3" s="3" t="s">
        <v>199</v>
      </c>
    </row>
    <row r="4" spans="3:40" x14ac:dyDescent="0.4">
      <c r="C4" s="18" t="s">
        <v>3</v>
      </c>
      <c r="D4" s="18" t="s">
        <v>4</v>
      </c>
      <c r="E4" s="3" t="s">
        <v>175</v>
      </c>
      <c r="F4" s="3" t="s">
        <v>180</v>
      </c>
      <c r="G4" s="3" t="s">
        <v>181</v>
      </c>
      <c r="H4" s="3" t="s">
        <v>182</v>
      </c>
      <c r="I4" s="3" t="s">
        <v>190</v>
      </c>
      <c r="J4" s="3" t="s">
        <v>191</v>
      </c>
      <c r="K4" s="3" t="s">
        <v>192</v>
      </c>
      <c r="L4" s="3" t="s">
        <v>196</v>
      </c>
      <c r="M4" s="38"/>
      <c r="N4" s="36" t="s">
        <v>48</v>
      </c>
      <c r="O4" s="36" t="s">
        <v>49</v>
      </c>
      <c r="P4" s="36" t="s">
        <v>217</v>
      </c>
      <c r="Q4" s="36" t="s">
        <v>218</v>
      </c>
      <c r="R4" s="36" t="s">
        <v>220</v>
      </c>
      <c r="S4" s="38"/>
      <c r="T4" s="3" t="s">
        <v>200</v>
      </c>
      <c r="U4" s="3" t="s">
        <v>248</v>
      </c>
      <c r="V4" s="40"/>
      <c r="W4" s="3" t="s">
        <v>176</v>
      </c>
      <c r="X4" s="3" t="s">
        <v>256</v>
      </c>
      <c r="Y4" s="3" t="s">
        <v>257</v>
      </c>
      <c r="Z4" s="3" t="s">
        <v>258</v>
      </c>
      <c r="AA4" s="38"/>
      <c r="AB4" s="36" t="s">
        <v>49</v>
      </c>
      <c r="AC4" s="36" t="s">
        <v>174</v>
      </c>
      <c r="AD4" s="36" t="s">
        <v>217</v>
      </c>
      <c r="AE4" s="36" t="s">
        <v>218</v>
      </c>
      <c r="AF4" s="36" t="s">
        <v>220</v>
      </c>
      <c r="AG4" s="36" t="s">
        <v>380</v>
      </c>
      <c r="AH4" s="36" t="s">
        <v>381</v>
      </c>
      <c r="AI4" s="36" t="s">
        <v>382</v>
      </c>
      <c r="AJ4" s="38"/>
      <c r="AK4" s="3" t="s">
        <v>8</v>
      </c>
      <c r="AL4" s="3" t="s">
        <v>247</v>
      </c>
      <c r="AM4" s="79"/>
      <c r="AN4" s="3" t="s">
        <v>201</v>
      </c>
    </row>
    <row r="5" spans="3:40" x14ac:dyDescent="0.4">
      <c r="C5" s="18" t="s">
        <v>41</v>
      </c>
      <c r="D5" s="18" t="s">
        <v>40</v>
      </c>
      <c r="E5" s="3" t="str">
        <f>"P_"&amp;E4</f>
        <v>P_HR_01</v>
      </c>
      <c r="F5" s="35" t="str">
        <f t="shared" ref="F5" si="0">"P_"&amp;F4</f>
        <v>P_HR_06</v>
      </c>
      <c r="G5" s="3" t="str">
        <f>"P_"&amp;G4</f>
        <v>P_HR_07</v>
      </c>
      <c r="H5" s="3" t="str">
        <f t="shared" ref="H5" si="1">"P_"&amp;H4</f>
        <v>P_HR_08</v>
      </c>
      <c r="I5" s="35" t="str">
        <f t="shared" ref="I5:K5" si="2">"P_"&amp;I4</f>
        <v>P_HR_12</v>
      </c>
      <c r="J5" s="3" t="str">
        <f t="shared" si="2"/>
        <v>P_HR_13</v>
      </c>
      <c r="K5" s="35" t="str">
        <f t="shared" si="2"/>
        <v>P_HR_14</v>
      </c>
      <c r="L5" s="3" t="str">
        <f>"P_"&amp;L4</f>
        <v>P_HR_18</v>
      </c>
      <c r="M5" s="38"/>
      <c r="N5" s="36" t="str">
        <f t="shared" ref="N5:P5" si="3">"P_"&amp;N4</f>
        <v>P_HS_01</v>
      </c>
      <c r="O5" s="3" t="str">
        <f t="shared" si="3"/>
        <v>P_HS_02</v>
      </c>
      <c r="P5" s="3" t="str">
        <f t="shared" si="3"/>
        <v>P_HS_06a</v>
      </c>
      <c r="Q5" s="3" t="str">
        <f t="shared" ref="Q5:R5" si="4">"P_"&amp;Q4</f>
        <v>P_HS_06b</v>
      </c>
      <c r="R5" s="3" t="str">
        <f t="shared" si="4"/>
        <v>P_HS_06c</v>
      </c>
      <c r="S5" s="38"/>
      <c r="T5" s="3" t="str">
        <f t="shared" ref="T5:U5" si="5">"P_"&amp;T4</f>
        <v>P_CF_03a</v>
      </c>
      <c r="U5" s="3" t="str">
        <f t="shared" si="5"/>
        <v>P_CF_04a</v>
      </c>
      <c r="V5" s="40"/>
      <c r="W5" s="3" t="str">
        <f>"S_"&amp;W4</f>
        <v>S_HR_02</v>
      </c>
      <c r="X5" s="35" t="str">
        <f t="shared" ref="X5:AK5" si="6">"S_"&amp;X4</f>
        <v>S_HR_06b</v>
      </c>
      <c r="Y5" s="3" t="str">
        <f>"S_"&amp;Y4</f>
        <v>S_HR_12b</v>
      </c>
      <c r="Z5" s="35" t="str">
        <f t="shared" ref="Z5" si="7">"S_"&amp;Z4</f>
        <v>S_HR_14b</v>
      </c>
      <c r="AA5" s="38"/>
      <c r="AB5" s="3" t="str">
        <f t="shared" si="6"/>
        <v>S_HS_02</v>
      </c>
      <c r="AC5" s="3" t="str">
        <f t="shared" si="6"/>
        <v>S_HS_03</v>
      </c>
      <c r="AD5" s="3" t="str">
        <f t="shared" ref="AD5:AE5" si="8">"S_"&amp;AD4</f>
        <v>S_HS_06a</v>
      </c>
      <c r="AE5" s="3" t="str">
        <f t="shared" si="8"/>
        <v>S_HS_06b</v>
      </c>
      <c r="AF5" s="3" t="str">
        <f t="shared" si="6"/>
        <v>S_HS_06c</v>
      </c>
      <c r="AG5" s="3" t="str">
        <f t="shared" si="6"/>
        <v>S_HS_07</v>
      </c>
      <c r="AH5" s="3" t="str">
        <f t="shared" si="6"/>
        <v>S_HS_08</v>
      </c>
      <c r="AI5" s="3" t="str">
        <f t="shared" ref="AI5" si="9">"S_"&amp;AI4</f>
        <v>S_HS_09</v>
      </c>
      <c r="AJ5" s="38"/>
      <c r="AK5" s="3" t="str">
        <f t="shared" si="6"/>
        <v>S_CF_02</v>
      </c>
      <c r="AL5" s="3" t="str">
        <f t="shared" ref="AL5" si="10">"S_"&amp;AL4</f>
        <v>S_CF_04b</v>
      </c>
      <c r="AM5" s="79"/>
      <c r="AN5" s="3" t="str">
        <f>"S_"&amp;AN4</f>
        <v>S_CF_03b</v>
      </c>
    </row>
    <row r="6" spans="3:40" x14ac:dyDescent="0.4">
      <c r="C6" s="17" t="str">
        <f>Indicator_Input!$B4</f>
        <v>Arnor</v>
      </c>
      <c r="D6" s="17" t="str">
        <f>Indicator_Input!$C4</f>
        <v>Arthedain</v>
      </c>
      <c r="E6" s="76">
        <f t="shared" ref="E6:L15" ca="1" si="11">IF(INDEX(INDIRECT(E$4),MATCH($D6,IN_Admin2,0))="","",
IF(INDEX(Measure,MATCH(E$4,PiN_Code,0))="Per",
IF(INDEX(Population,MATCH($D6,Admin2,0))-
((INDEX(INDIRECT(E$4),MATCH($D6, Admin2,0)) / INDEX(PiN_Threshold,MATCH(E$4,PiN_Code,0)))*
INDEX(PiN_Per, MATCH(E$4, PiN_Code,0)))&lt;=0,0,
INDEX(Population,MATCH($D6,Admin2,0))-
((INDEX(INDIRECT(E$4),MATCH($D6, Admin2,0))/INDEX(PiN_Threshold,MATCH(E$4,PiN_Code,0)))*
INDEX(PiN_Per, MATCH(E$4, PiN_Code,0)))),
IF(INDEX(Measure,MATCH(E$4,PiN_Code,0))="Proportion",
IF(INDEX(INDIRECT(E$4),MATCH($D6,IN_Admin2,0))&gt;INDEX(PiN_Threshold,MATCH(E$4,PiN_Code,0)),0,
(INDEX(PiN_Threshold,MATCH(E$4,PiN_Code,0))-INDEX(INDIRECT(E$4),MATCH($D6,IN_Admin2,0)))*INDEX(Population,MATCH($D6,Pop_Admin2,0))),
IF(INDEX(Measure,MATCH(E$4,PiN_Code,0))="Number",
IF(INDEX(INDIRECT(E$4),MATCH($D6,IN_Admin2,0))&gt;INDEX(Population,MATCH($D6,Pop_Admin2,0)),INDEX(Population,MATCH($D6,Pop_Admin2,0)),
INDEX(INDIRECT(E$4),MATCH($D6,IN_Admin2,0))),
IF(INDEX(Measure, MATCH(E$4, PiN_Code,0))="Propotion-Total",
INDEX(Population,MATCH($D6,Pop_Admin2,0))*INDEX(INDIRECT(E$4),MATCH($D6,IN_Admin2,0)),"CHECK")))))</f>
        <v>1893424</v>
      </c>
      <c r="F6" s="76">
        <f t="shared" ca="1" si="11"/>
        <v>2527868.4444444445</v>
      </c>
      <c r="G6" s="76">
        <f t="shared" ca="1" si="11"/>
        <v>2443924</v>
      </c>
      <c r="H6" s="76">
        <f t="shared" ca="1" si="11"/>
        <v>886698.40000000014</v>
      </c>
      <c r="I6" s="76">
        <f t="shared" ca="1" si="11"/>
        <v>2283424</v>
      </c>
      <c r="J6" s="76">
        <f t="shared" ca="1" si="11"/>
        <v>2033424</v>
      </c>
      <c r="K6" s="76">
        <f t="shared" ca="1" si="11"/>
        <v>2295597.913043478</v>
      </c>
      <c r="L6" s="76">
        <f t="shared" ca="1" si="11"/>
        <v>152005.44000000015</v>
      </c>
      <c r="M6" s="41"/>
      <c r="N6" s="76">
        <f t="shared" ref="N6:U25" ca="1" si="12">IF(INDEX(INDIRECT(N$4),MATCH($D6,IN_Admin2,0))="","",
IF(INDEX(Measure,MATCH(N$4,PiN_Code,0))="Per",
IF(INDEX(Population,MATCH($D6,Admin2,0))-
((INDEX(INDIRECT(N$4),MATCH($D6, Admin2,0)) / INDEX(PiN_Threshold,MATCH(N$4,PiN_Code,0)))*
INDEX(PiN_Per, MATCH(N$4, PiN_Code,0)))&lt;=0,0,
INDEX(Population,MATCH($D6,Admin2,0))-
((INDEX(INDIRECT(N$4),MATCH($D6, Admin2,0))/INDEX(PiN_Threshold,MATCH(N$4,PiN_Code,0)))*
INDEX(PiN_Per, MATCH(N$4, PiN_Code,0)))),
IF(INDEX(Measure,MATCH(N$4,PiN_Code,0))="Proportion",
IF(INDEX(INDIRECT(N$4),MATCH($D6,IN_Admin2,0))&gt;INDEX(PiN_Threshold,MATCH(N$4,PiN_Code,0)),0,
(INDEX(PiN_Threshold,MATCH(N$4,PiN_Code,0))-INDEX(INDIRECT(N$4),MATCH($D6,IN_Admin2,0)))*INDEX(Population,MATCH($D6,Pop_Admin2,0))),
IF(INDEX(Measure,MATCH(N$4,PiN_Code,0))="Number",
IF(INDEX(INDIRECT(N$4),MATCH($D6,IN_Admin2,0))&gt;INDEX(Population,MATCH($D6,Pop_Admin2,0)),INDEX(Population,MATCH($D6,Pop_Admin2,0)),
INDEX(INDIRECT(N$4),MATCH($D6,IN_Admin2,0))),
IF(INDEX(Measure, MATCH(N$4, PiN_Code,0))="Propotion-Total",
INDEX(Population,MATCH($D6,Pop_Admin2,0))*INDEX(INDIRECT(N$4),MATCH($D6,IN_Admin2,0)),"CHECK")))))</f>
        <v>405347.84000000003</v>
      </c>
      <c r="O6" s="76">
        <f t="shared" ca="1" si="12"/>
        <v>633356</v>
      </c>
      <c r="P6" s="76">
        <f t="shared" ca="1" si="12"/>
        <v>785361.43999999983</v>
      </c>
      <c r="Q6" s="76">
        <f t="shared" ca="1" si="12"/>
        <v>0</v>
      </c>
      <c r="R6" s="76">
        <f t="shared" ca="1" si="12"/>
        <v>304010.88</v>
      </c>
      <c r="S6" s="41"/>
      <c r="T6" s="76">
        <f t="shared" ref="T6:T61" ca="1" si="13">IF(INDEX(INDIRECT(T$4),MATCH($D6,IN_Admin2,0))="","",
IF(INDEX(Measure,MATCH(T$4,PiN_Code,0))="Per",
IF(INDEX(Population,MATCH($D6,Admin2,0))-
((INDEX(INDIRECT(T$4),MATCH($D6, Admin2,0)) / INDEX(PiN_Threshold,MATCH(T$4,PiN_Code,0)))*
INDEX(PiN_Per, MATCH(T$4, PiN_Code,0)))&lt;=0,0,
INDEX(Population,MATCH($D6,Admin2,0))-
((INDEX(INDIRECT(T$4),MATCH($D6, Admin2,0))/INDEX(PiN_Threshold,MATCH(T$4,PiN_Code,0)))*
INDEX(PiN_Per, MATCH(T$4, PiN_Code,0)))),
IF(INDEX(Measure,MATCH(T$4,PiN_Code,0))="Proportion",
IF(INDEX(INDIRECT(T$4),MATCH($D6,IN_Admin2,0))&gt;INDEX(PiN_Threshold,MATCH(T$4,PiN_Code,0)),0,
(INDEX(PiN_Threshold,MATCH(T$4,PiN_Code,0))-INDEX(INDIRECT(T$4),MATCH($D6,IN_Admin2,0)))*INDEX(Population,MATCH($D6,Pop_Admin2,0))),
IF(INDEX(Measure,MATCH(T$4,PiN_Code,0))="Number",
IF(INDEX(INDIRECT(T$4),MATCH($D6,IN_Admin2,0))&gt;INDEX(Population,MATCH($D6,Pop_Admin2,0)),INDEX(Population,MATCH($D6,Pop_Admin2,0)),
INDEX(INDIRECT(T$4),MATCH($D6,IN_Admin2,0))),
IF(INDEX(Measure, MATCH(T$4, PiN_Code,0))="Propotion-Total",
INDEX(Population,MATCH($D6,Pop_Admin2,0))*INDEX(INDIRECT(T$4),MATCH($D6,IN_Admin2,0)),"CHECK")))))</f>
        <v>330000</v>
      </c>
      <c r="U6" s="76">
        <f t="shared" ca="1" si="12"/>
        <v>4000</v>
      </c>
      <c r="V6" s="40"/>
      <c r="W6" s="77">
        <f ca="1">IF(INDEX(INDIRECT(W$4),MATCH($D6,IN_Admin2,0))="","",
IF(AND(INDEX(Logical_Operator,MATCH(W$4,PiN_Code,0))="&lt;",INDEX(EndFormula,MATCH(W$4,PiN_Code,0))="Severity 1"),
IF(INDEX(INDIRECT(W$4),MATCH($D6,IN_Admin2,0))&lt;INDEX(Severity_5,MATCH(W$4,PiN_Code,0)),5,
IF(INDEX(INDIRECT(W$4),MATCH($D6,IN_Admin2,0))&lt;INDEX(Severity_4,MATCH(W$4,PiN_Code,0)),4,
IF(INDEX(INDIRECT(W$4),MATCH($D6,IN_Admin2,0))&lt;INDEX(Severity_3,MATCH(W$4,PiN_Code,0)),3,
IF(INDEX(INDIRECT(W$4),MATCH($D6,IN_Admin2,0))&lt;INDEX(Severity_2,MATCH(W$4,PiN_Code,0)),2,1)))),
IF(AND(INDEX(Logical_Operator,MATCH(W$4,PiN_Code,0))="&lt;",INDEX(EndFormula,MATCH(W$4,PiN_Code,0))="Severity 1 &amp; 2"),
IF(INDEX(INDIRECT(W$4),MATCH($D6,IN_Admin2,0))&lt;INDEX(Severity_5,MATCH(W$4,PiN_Code,0)),5,
IF(INDEX(INDIRECT(W$4),MATCH($D6,IN_Admin2,0))&lt;INDEX(Severity_4,MATCH(W$4,PiN_Code,0)),4,
IF(INDEX(INDIRECT(W$4),MATCH($D6,IN_Admin2,0))&lt;INDEX(Severity_3,MATCH(W$4,PiN_Code,0)),3,1))),
IF(AND(INDEX(Logical_Operator,MATCH(W$4,PiN_Code,0))="&lt;",INDEX(EndFormula,MATCH(W$4,PiN_Code,0))="Severity 5, no 2"),
IF(INDEX(INDIRECT(W$4),MATCH($D6,IN_Admin2,0))&lt;INDEX(Severity_1,MATCH(W$4,PiN_Code,0)),1,
IF(INDEX(INDIRECT(W$4),MATCH($D6,IN_Admin2,0))&lt;INDEX(Severity_3,MATCH(W$4,PiN_Code,0)),3,
IF(INDEX(INDIRECT(W$4),MATCH($D6,IN_Admin2,0))&lt;INDEX(Severity_4,MATCH(W$4,PiN_Code,0)),4,5))),
IF(AND(INDEX(Logical_Operator,MATCH(W$4,PiN_Code,0))="&lt;",INDEX(EndFormula,MATCH(W$4,PiN_Code,0))="Severity 5"),
IF(INDEX(INDIRECT(W$4),MATCH($D6,IN_Admin2,0))&lt;INDEX(Severity_1,MATCH(W$4,PiN_Code,0)),1,
IF(INDEX(INDIRECT(W$4),MATCH($D6,IN_Admin2,0))&lt;INDEX(Severity_2,MATCH(W$4,PiN_Code,0)),2,
IF(INDEX(INDIRECT(W$4),MATCH($D6,IN_Admin2,0))&lt;INDEX(Severity_3,MATCH(W$4,PiN_Code,0)),3,
IF(INDEX(INDIRECT(W$4),MATCH($D6,IN_Admin2,0))&lt;INDEX(Severity_4,MATCH(W$4,PiN_Code,0)),4,5)))),
IF(AND(INDEX(Logical_Operator,MATCH(W$4,PiN_Code,0))="&lt;=",INDEX(EndFormula,MATCH(W$4,PiN_Code,0))="Severity 1"),
IF(INDEX(INDIRECT(W$4),MATCH($D6,IN_Admin2,0))&lt;=INDEX(Severity_5,MATCH(W$4,PiN_Code,0)),5,
IF(INDEX(INDIRECT(W$4),MATCH($D6,IN_Admin2,0))&lt;=INDEX(Severity_4,MATCH(W$4,PiN_Code,0)),4,
IF(INDEX(INDIRECT(W$4),MATCH($D6,IN_Admin2,0))&lt;=INDEX(Severity_3,MATCH(W$4,PiN_Code,0)),3,
IF(INDEX(INDIRECT(W$4),MATCH($D6,IN_Admin2,0))&lt;=INDEX(Severity_2,MATCH(W$4,PiN_Code,0)),2,1)))),
IF(AND(INDEX(Logical_Operator,MATCH(W$4,PiN_Code,0))="&lt;=",INDEX(EndFormula,MATCH(W$4,PiN_Code,0))="Severity 1 &amp; 2"),
IF(INDEX(INDIRECT(W$4),MATCH($D6,IN_Admin2,0))&lt;=INDEX(Severity_5,MATCH(W$4,PiN_Code,0)),5,
IF(INDEX(INDIRECT(W$4),MATCH($D6,IN_Admin2,0))&lt;=INDEX(Severity_4,MATCH(W$4,PiN_Code,0)),4,
IF(INDEX(INDIRECT(W$4),MATCH($D6,IN_Admin2,0))&lt;=INDEX(Severity_3,MATCH(W$4,PiN_Code,0)),3,1))),
IF(AND(INDEX(Logical_Operator,MATCH(W$4,PiN_Code,0))="&lt;=",INDEX(EndFormula,MATCH(W$4,PiN_Code,0))="Severity 5, no 2"),
IF(INDEX(INDIRECT(W$4),MATCH($D6,IN_Admin2,0))&lt;=INDEX(Severity_1,MATCH(W$4,PiN_Code,0)),1,
IF(INDEX(INDIRECT(W$4),MATCH($D6,IN_Admin2,0))&lt;=INDEX(Severity_3,MATCH(W$4,PiN_Code,0)),3,
IF(INDEX(INDIRECT(W$4),MATCH($D6,IN_Admin2,0))&lt;=INDEX(Severity_4,MATCH(W$4,PiN_Code,0)),4,5))),
IF(AND(INDEX(Logical_Operator,MATCH(W$4,PiN_Code,0))="&lt;=",INDEX(EndFormula,MATCH(W$4,PiN_Code,0))="Severity 5"),
IF(INDEX(INDIRECT(W$4),MATCH($D6,IN_Admin2,0))&lt;=INDEX(Severity_1,MATCH(W$4,PiN_Code,0)),1,
IF(INDEX(INDIRECT(W$4),MATCH($D6,IN_Admin2,0))&lt;=INDEX(Severity_2,MATCH(W$4,PiN_Code,0)),2,
IF(INDEX(INDIRECT(W$4),MATCH($D6,IN_Admin2,0))&lt;=INDEX(Severity_3,MATCH(W$4,PiN_Code,0)),3,
IF(INDEX(INDIRECT(W$4),MATCH($D6,IN_Admin2,0))&lt;=INDEX(Severity_4,MATCH(W$4,PiN_Code,0)),4,5)))),
IF(AND(INDEX(Logical_Operator,MATCH(W$4,PiN_Code,0))="&gt;=",INDEX(EndFormula,MATCH(W$4,PiN_Code,0))="Severity 1"),
IF(INDEX(INDIRECT(W$4),MATCH($D6,IN_Admin2,0))&gt;=INDEX(Severity_5,MATCH(W$4,PiN_Code,0)),5,
IF(INDEX(INDIRECT(W$4),MATCH($D6,IN_Admin2,0))&gt;=INDEX(Severity_4,MATCH(W$4,PiN_Code,0)),4,
IF(INDEX(INDIRECT(W$4),MATCH($D6,IN_Admin2,0))&gt;=INDEX(Severity_3,MATCH(W$4,PiN_Code,0)),3,
IF(INDEX(INDIRECT(W$4),MATCH($D6,IN_Admin2,0))&gt;=INDEX(Severity_2,MATCH(W$4,PiN_Code,0)),2,1)))),
IF(AND(INDEX(Logical_Operator,MATCH(W$4,PiN_Code,0))="&gt;=",INDEX(EndFormula,MATCH(W$4,PiN_Code,0))="Severity 1 &amp; 2"),
IF(INDEX(INDIRECT(W$4),MATCH($D6,IN_Admin2,0))&gt;=INDEX(Severity_5,MATCH(W$4,PiN_Code,0)),5,
IF(INDEX(INDIRECT(W$4),MATCH($D6,IN_Admin2,0))&gt;=INDEX(Severity_4,MATCH(W$4,PiN_Code,0)),4,
IF(INDEX(INDIRECT(W$4),MATCH($D6,IN_Admin2,0))&gt;=INDEX(Severity_3,MATCH(W$4,PiN_Code,0)),3,1))),
IF(AND(INDEX(Logical_Operator,MATCH(W$4,PiN_Code,0))="&gt;=",INDEX(EndFormula,MATCH(W$4,PiN_Code,0))="Severity 5, no 2"),
IF(INDEX(INDIRECT(W$4),MATCH($D6,IN_Admin2,0))&gt;=INDEX(Severity_1,MATCH(W$4,PiN_Code,0)),1,
IF(INDEX(INDIRECT(W$4),MATCH($D6,IN_Admin2,0))&gt;=INDEX(Severity_3,MATCH(W$4,PiN_Code,0)),3,
IF(INDEX(INDIRECT(W$4),MATCH($D6,IN_Admin2,0))&gt;=INDEX(Severity_4,MATCH(W$4,PiN_Code,0)),4,5))),
IF(AND(INDEX(Logical_Operator,MATCH(W$4,PiN_Code,0))="&gt;=",INDEX(EndFormula,MATCH(W$4,PiN_Code,0))="Severity 5"),
IF(INDEX(INDIRECT(W$4),MATCH($D6,IN_Admin2,0))&gt;=INDEX(Severity_1,MATCH(W$4,PiN_Code,0)),1,
IF(INDEX(INDIRECT(W$4),MATCH($D6,IN_Admin2,0))&gt;=INDEX(Severity_2,MATCH(W$4,PiN_Code,0)),2,
IF(INDEX(INDIRECT(W$4),MATCH($D6,IN_Admin2,0))&gt;=INDEX(Severity_3,MATCH(W$4,PiN_Code,0)),3,
IF(INDEX(INDIRECT(W$4),MATCH($D6,IN_Admin2,0))&gt;=INDEX(Severity_4,MATCH(W$4,PiN_Code,0)),4,5)))),
IF(AND(INDEX(Logical_Operator,MATCH(W$4,PiN_Code,0))="&gt;",INDEX(EndFormula,MATCH(W$4,PiN_Code,0))="Severity 1"),
IF(INDEX(INDIRECT(W$4),MATCH($D6,IN_Admin2,0))&gt;INDEX(Severity_5,MATCH(W$4,PiN_Code,0)),5,
IF(INDEX(INDIRECT(W$4),MATCH($D6,IN_Admin2,0))&gt;INDEX(Severity_4,MATCH(W$4,PiN_Code,0)),4,
IF(INDEX(INDIRECT(W$4),MATCH($D6,IN_Admin2,0))&gt;INDEX(Severity_3,MATCH(W$4,PiN_Code,0)),3,
IF(INDEX(INDIRECT(W$4),MATCH($D6,IN_Admin2,0))&gt;INDEX(Severity_2,MATCH(W$4,PiN_Code,0)),2,1)))),
IF(AND(INDEX(Logical_Operator,MATCH(W$4,PiN_Code,0))="&gt;",INDEX(EndFormula,MATCH(W$4,PiN_Code,0))="Severity 1 &amp; 2"),
IF(INDEX(INDIRECT(W$4),MATCH($D6,IN_Admin2,0))&gt;INDEX(Severity_5,MATCH(W$4,PiN_Code,0)),5,
IF(INDEX(INDIRECT(W$4),MATCH($D6,IN_Admin2,0))&gt;INDEX(Severity_4,MATCH(W$4,PiN_Code,0)),4,
IF(INDEX(INDIRECT(W$4),MATCH($D6,IN_Admin2,0))&gt;INDEX(Severity_3,MATCH(W$4,PiN_Code,0)),3,1))),
IF(AND(INDEX(Logical_Operator,MATCH(W$4,PiN_Code,0))="&gt;",INDEX(EndFormula,MATCH(W$4,PiN_Code,0))="Severity 5, no 2"),
IF(INDEX(INDIRECT(W$4),MATCH($D6,IN_Admin2,0))&gt;INDEX(Severity_1,MATCH(W$4,PiN_Code,0)),1,
IF(INDEX(INDIRECT(W$4),MATCH($D6,IN_Admin2,0))&gt;INDEX(Severity_3,MATCH(W$4,PiN_Code,0)),3,
IF(INDEX(INDIRECT(W$4),MATCH($D6,IN_Admin2,0))&gt;INDEX(Severity_4,MATCH(W$4,PiN_Code,0)),4,5))),
IF(AND(INDEX(Logical_Operator,MATCH(W$4,PiN_Code,0))="&gt;",INDEX(EndFormula,MATCH(W$4,PiN_Code,0))="Severity 5"),
IF(INDEX(INDIRECT(W$4),MATCH($D6,IN_Admin2,0))&gt;INDEX(Severity_1,MATCH(W$4,PiN_Code,0)),1,
IF(INDEX(INDIRECT(W$4),MATCH($D6,IN_Admin2,0))&gt;INDEX(Severity_2,MATCH(W$4,PiN_Code,0)),2,
IF(INDEX(INDIRECT(W$4),MATCH($D6,IN_Admin2,0))&gt;INDEX(Severity_3,MATCH(W$4,PiN_Code,0)),3,
IF(INDEX(INDIRECT(W$4),MATCH($D6,IN_Admin2,0))&gt;INDEX(Severity_4,MATCH(W$4,PiN_Code,0)),4,5)))),
IF(AND(INDEX(Logical_Operator,MATCH(W$4,PiN_Code,0))="=",INDEX(EndFormula,MATCH(W$4,PiN_Code,0))="Severity 1"),
IF(INDEX(INDIRECT(W$4),MATCH($D6,IN_Admin2,0))=INDEX(Severity_5,MATCH(W$4,PiN_Code,0)),5,
IF(INDEX(INDIRECT(W$4),MATCH($D6,IN_Admin2,0))=INDEX(Severity_4,MATCH(W$4,PiN_Code,0)),4,
IF(INDEX(INDIRECT(W$4),MATCH($D6,IN_Admin2,0))=INDEX(Severity_3,MATCH(W$4,PiN_Code,0)),3,
IF(INDEX(INDIRECT(W$4),MATCH($D6,IN_Admin2,0))=INDEX(Severity_2,MATCH(W$4,PiN_Code,0)),2,1)))),
IF(INDEX(Logical_Operator,MATCH(W$4,PiN_Code,0))="=",
INDEX(INDIRECT(W$4),MATCH($D6,IN_Admin2,0)))))))))))))))))))))</f>
        <v>5</v>
      </c>
      <c r="X6" s="77">
        <f ca="1">IF(INDEX(INDIRECT(X$4),MATCH($D6,IN_Admin2,0))="","",
IF(AND(INDEX(Logical_Operator,MATCH(X$4,PiN_Code,0))="&lt;",INDEX(EndFormula,MATCH(X$4,PiN_Code,0))="Severity 1"),
IF(INDEX(INDIRECT(X$4),MATCH($D6,IN_Admin2,0))&lt;INDEX(Severity_5,MATCH(X$4,PiN_Code,0)),5,
IF(INDEX(INDIRECT(X$4),MATCH($D6,IN_Admin2,0))&lt;INDEX(Severity_4,MATCH(X$4,PiN_Code,0)),4,
IF(INDEX(INDIRECT(X$4),MATCH($D6,IN_Admin2,0))&lt;INDEX(Severity_3,MATCH(X$4,PiN_Code,0)),3,
IF(INDEX(INDIRECT(X$4),MATCH($D6,IN_Admin2,0))&lt;INDEX(Severity_2,MATCH(X$4,PiN_Code,0)),2,1)))),
IF(AND(INDEX(Logical_Operator,MATCH(X$4,PiN_Code,0))="&lt;",INDEX(EndFormula,MATCH(X$4,PiN_Code,0))="Severity 1 &amp; 2"),
IF(INDEX(INDIRECT(X$4),MATCH($D6,IN_Admin2,0))&lt;INDEX(Severity_5,MATCH(X$4,PiN_Code,0)),5,
IF(INDEX(INDIRECT(X$4),MATCH($D6,IN_Admin2,0))&lt;INDEX(Severity_4,MATCH(X$4,PiN_Code,0)),4,
IF(INDEX(INDIRECT(X$4),MATCH($D6,IN_Admin2,0))&lt;INDEX(Severity_3,MATCH(X$4,PiN_Code,0)),3,1))),
IF(AND(INDEX(Logical_Operator,MATCH(X$4,PiN_Code,0))="&lt;",INDEX(EndFormula,MATCH(X$4,PiN_Code,0))="Severity 5, no 2"),
IF(INDEX(INDIRECT(X$4),MATCH($D6,IN_Admin2,0))&lt;INDEX(Severity_1,MATCH(X$4,PiN_Code,0)),1,
IF(INDEX(INDIRECT(X$4),MATCH($D6,IN_Admin2,0))&lt;INDEX(Severity_3,MATCH(X$4,PiN_Code,0)),3,
IF(INDEX(INDIRECT(X$4),MATCH($D6,IN_Admin2,0))&lt;INDEX(Severity_4,MATCH(X$4,PiN_Code,0)),4,5))),
IF(AND(INDEX(Logical_Operator,MATCH(X$4,PiN_Code,0))="&lt;",INDEX(EndFormula,MATCH(X$4,PiN_Code,0))="Severity 5"),
IF(INDEX(INDIRECT(X$4),MATCH($D6,IN_Admin2,0))&lt;INDEX(Severity_1,MATCH(X$4,PiN_Code,0)),1,
IF(INDEX(INDIRECT(X$4),MATCH($D6,IN_Admin2,0))&lt;INDEX(Severity_2,MATCH(X$4,PiN_Code,0)),2,
IF(INDEX(INDIRECT(X$4),MATCH($D6,IN_Admin2,0))&lt;INDEX(Severity_3,MATCH(X$4,PiN_Code,0)),3,
IF(INDEX(INDIRECT(X$4),MATCH($D6,IN_Admin2,0))&lt;INDEX(Severity_4,MATCH(X$4,PiN_Code,0)),4,5)))),
IF(AND(INDEX(Logical_Operator,MATCH(X$4,PiN_Code,0))="&lt;=",INDEX(EndFormula,MATCH(X$4,PiN_Code,0))="Severity 1"),
IF(INDEX(INDIRECT(X$4),MATCH($D6,IN_Admin2,0))&lt;=INDEX(Severity_5,MATCH(X$4,PiN_Code,0)),5,
IF(INDEX(INDIRECT(X$4),MATCH($D6,IN_Admin2,0))&lt;=INDEX(Severity_4,MATCH(X$4,PiN_Code,0)),4,
IF(INDEX(INDIRECT(X$4),MATCH($D6,IN_Admin2,0))&lt;=INDEX(Severity_3,MATCH(X$4,PiN_Code,0)),3,
IF(INDEX(INDIRECT(X$4),MATCH($D6,IN_Admin2,0))&lt;=INDEX(Severity_2,MATCH(X$4,PiN_Code,0)),2,1)))),
IF(AND(INDEX(Logical_Operator,MATCH(X$4,PiN_Code,0))="&lt;=",INDEX(EndFormula,MATCH(X$4,PiN_Code,0))="Severity 1 &amp; 2"),
IF(INDEX(INDIRECT(X$4),MATCH($D6,IN_Admin2,0))&lt;=INDEX(Severity_5,MATCH(X$4,PiN_Code,0)),5,
IF(INDEX(INDIRECT(X$4),MATCH($D6,IN_Admin2,0))&lt;=INDEX(Severity_4,MATCH(X$4,PiN_Code,0)),4,
IF(INDEX(INDIRECT(X$4),MATCH($D6,IN_Admin2,0))&lt;=INDEX(Severity_3,MATCH(X$4,PiN_Code,0)),3,1))),
IF(AND(INDEX(Logical_Operator,MATCH(X$4,PiN_Code,0))="&lt;=",INDEX(EndFormula,MATCH(X$4,PiN_Code,0))="Severity 5, no 2"),
IF(INDEX(INDIRECT(X$4),MATCH($D6,IN_Admin2,0))&lt;=INDEX(Severity_1,MATCH(X$4,PiN_Code,0)),1,
IF(INDEX(INDIRECT(X$4),MATCH($D6,IN_Admin2,0))&lt;=INDEX(Severity_3,MATCH(X$4,PiN_Code,0)),3,
IF(INDEX(INDIRECT(X$4),MATCH($D6,IN_Admin2,0))&lt;=INDEX(Severity_4,MATCH(X$4,PiN_Code,0)),4,5))),
IF(AND(INDEX(Logical_Operator,MATCH(X$4,PiN_Code,0))="&lt;=",INDEX(EndFormula,MATCH(X$4,PiN_Code,0))="Severity 5"),
IF(INDEX(INDIRECT(X$4),MATCH($D6,IN_Admin2,0))&lt;=INDEX(Severity_1,MATCH(X$4,PiN_Code,0)),1,
IF(INDEX(INDIRECT(X$4),MATCH($D6,IN_Admin2,0))&lt;=INDEX(Severity_2,MATCH(X$4,PiN_Code,0)),2,
IF(INDEX(INDIRECT(X$4),MATCH($D6,IN_Admin2,0))&lt;=INDEX(Severity_3,MATCH(X$4,PiN_Code,0)),3,
IF(INDEX(INDIRECT(X$4),MATCH($D6,IN_Admin2,0))&lt;=INDEX(Severity_4,MATCH(X$4,PiN_Code,0)),4,5)))),
IF(AND(INDEX(Logical_Operator,MATCH(X$4,PiN_Code,0))="&gt;=",INDEX(EndFormula,MATCH(X$4,PiN_Code,0))="Severity 1"),
IF(INDEX(INDIRECT(X$4),MATCH($D6,IN_Admin2,0))&gt;=INDEX(Severity_5,MATCH(X$4,PiN_Code,0)),5,
IF(INDEX(INDIRECT(X$4),MATCH($D6,IN_Admin2,0))&gt;=INDEX(Severity_4,MATCH(X$4,PiN_Code,0)),4,
IF(INDEX(INDIRECT(X$4),MATCH($D6,IN_Admin2,0))&gt;=INDEX(Severity_3,MATCH(X$4,PiN_Code,0)),3,
IF(INDEX(INDIRECT(X$4),MATCH($D6,IN_Admin2,0))&gt;=INDEX(Severity_2,MATCH(X$4,PiN_Code,0)),2,1)))),
IF(AND(INDEX(Logical_Operator,MATCH(X$4,PiN_Code,0))="&gt;=",INDEX(EndFormula,MATCH(X$4,PiN_Code,0))="Severity 1 &amp; 2"),
IF(INDEX(INDIRECT(X$4),MATCH($D6,IN_Admin2,0))&gt;=INDEX(Severity_5,MATCH(X$4,PiN_Code,0)),5,
IF(INDEX(INDIRECT(X$4),MATCH($D6,IN_Admin2,0))&gt;=INDEX(Severity_4,MATCH(X$4,PiN_Code,0)),4,
IF(INDEX(INDIRECT(X$4),MATCH($D6,IN_Admin2,0))&gt;=INDEX(Severity_3,MATCH(X$4,PiN_Code,0)),3,1))),
IF(AND(INDEX(Logical_Operator,MATCH(X$4,PiN_Code,0))="&gt;=",INDEX(EndFormula,MATCH(X$4,PiN_Code,0))="Severity 5, no 2"),
IF(INDEX(INDIRECT(X$4),MATCH($D6,IN_Admin2,0))&gt;=INDEX(Severity_1,MATCH(X$4,PiN_Code,0)),1,
IF(INDEX(INDIRECT(X$4),MATCH($D6,IN_Admin2,0))&gt;=INDEX(Severity_3,MATCH(X$4,PiN_Code,0)),3,
IF(INDEX(INDIRECT(X$4),MATCH($D6,IN_Admin2,0))&gt;=INDEX(Severity_4,MATCH(X$4,PiN_Code,0)),4,5))),
IF(AND(INDEX(Logical_Operator,MATCH(X$4,PiN_Code,0))="&gt;=",INDEX(EndFormula,MATCH(X$4,PiN_Code,0))="Severity 5"),
IF(INDEX(INDIRECT(X$4),MATCH($D6,IN_Admin2,0))&gt;=INDEX(Severity_1,MATCH(X$4,PiN_Code,0)),1,
IF(INDEX(INDIRECT(X$4),MATCH($D6,IN_Admin2,0))&gt;=INDEX(Severity_2,MATCH(X$4,PiN_Code,0)),2,
IF(INDEX(INDIRECT(X$4),MATCH($D6,IN_Admin2,0))&gt;=INDEX(Severity_3,MATCH(X$4,PiN_Code,0)),3,
IF(INDEX(INDIRECT(X$4),MATCH($D6,IN_Admin2,0))&gt;=INDEX(Severity_4,MATCH(X$4,PiN_Code,0)),4,5)))),
IF(AND(INDEX(Logical_Operator,MATCH(X$4,PiN_Code,0))="&gt;",INDEX(EndFormula,MATCH(X$4,PiN_Code,0))="Severity 1"),
IF(INDEX(INDIRECT(X$4),MATCH($D6,IN_Admin2,0))&gt;INDEX(Severity_5,MATCH(X$4,PiN_Code,0)),5,
IF(INDEX(INDIRECT(X$4),MATCH($D6,IN_Admin2,0))&gt;INDEX(Severity_4,MATCH(X$4,PiN_Code,0)),4,
IF(INDEX(INDIRECT(X$4),MATCH($D6,IN_Admin2,0))&gt;INDEX(Severity_3,MATCH(X$4,PiN_Code,0)),3,
IF(INDEX(INDIRECT(X$4),MATCH($D6,IN_Admin2,0))&gt;INDEX(Severity_2,MATCH(X$4,PiN_Code,0)),2,1)))),
IF(AND(INDEX(Logical_Operator,MATCH(X$4,PiN_Code,0))="&gt;",INDEX(EndFormula,MATCH(X$4,PiN_Code,0))="Severity 1 &amp; 2"),
IF(INDEX(INDIRECT(X$4),MATCH($D6,IN_Admin2,0))&gt;INDEX(Severity_5,MATCH(X$4,PiN_Code,0)),5,
IF(INDEX(INDIRECT(X$4),MATCH($D6,IN_Admin2,0))&gt;INDEX(Severity_4,MATCH(X$4,PiN_Code,0)),4,
IF(INDEX(INDIRECT(X$4),MATCH($D6,IN_Admin2,0))&gt;INDEX(Severity_3,MATCH(X$4,PiN_Code,0)),3,1))),
IF(AND(INDEX(Logical_Operator,MATCH(X$4,PiN_Code,0))="&gt;",INDEX(EndFormula,MATCH(X$4,PiN_Code,0))="Severity 5, no 2"),
IF(INDEX(INDIRECT(X$4),MATCH($D6,IN_Admin2,0))&gt;INDEX(Severity_1,MATCH(X$4,PiN_Code,0)),1,
IF(INDEX(INDIRECT(X$4),MATCH($D6,IN_Admin2,0))&gt;INDEX(Severity_3,MATCH(X$4,PiN_Code,0)),3,
IF(INDEX(INDIRECT(X$4),MATCH($D6,IN_Admin2,0))&gt;INDEX(Severity_4,MATCH(X$4,PiN_Code,0)),4,5))),
IF(AND(INDEX(Logical_Operator,MATCH(X$4,PiN_Code,0))="&gt;",INDEX(EndFormula,MATCH(X$4,PiN_Code,0))="Severity 5"),
IF(INDEX(INDIRECT(X$4),MATCH($D6,IN_Admin2,0))&gt;INDEX(Severity_1,MATCH(X$4,PiN_Code,0)),1,
IF(INDEX(INDIRECT(X$4),MATCH($D6,IN_Admin2,0))&gt;INDEX(Severity_2,MATCH(X$4,PiN_Code,0)),2,
IF(INDEX(INDIRECT(X$4),MATCH($D6,IN_Admin2,0))&gt;INDEX(Severity_3,MATCH(X$4,PiN_Code,0)),3,
IF(INDEX(INDIRECT(X$4),MATCH($D6,IN_Admin2,0))&gt;INDEX(Severity_4,MATCH(X$4,PiN_Code,0)),4,5)))),
IF(AND(INDEX(Logical_Operator,MATCH(X$4,PiN_Code,0))="=",INDEX(EndFormula,MATCH(X$4,PiN_Code,0))="Severity 1"),
IF(INDEX(INDIRECT(X$4),MATCH($D6,IN_Admin2,0))=INDEX(Severity_5,MATCH(X$4,PiN_Code,0)),5,
IF(INDEX(INDIRECT(X$4),MATCH($D6,IN_Admin2,0))=INDEX(Severity_4,MATCH(X$4,PiN_Code,0)),4,
IF(INDEX(INDIRECT(X$4),MATCH($D6,IN_Admin2,0))=INDEX(Severity_3,MATCH(X$4,PiN_Code,0)),3,
IF(INDEX(INDIRECT(X$4),MATCH($D6,IN_Admin2,0))=INDEX(Severity_2,MATCH(X$4,PiN_Code,0)),2,1)))),
IF(INDEX(Logical_Operator,MATCH(X$4,PiN_Code,0))="=",
INDEX(INDIRECT(X$4),MATCH($D6,IN_Admin2,0)))))))))))))))))))))</f>
        <v>5</v>
      </c>
      <c r="Y6" s="77">
        <f ca="1">IF(INDEX(INDIRECT(Y$4),MATCH($D6,IN_Admin2,0))="","",
IF(AND(INDEX(Logical_Operator,MATCH(Y$4,PiN_Code,0))="&lt;",INDEX(EndFormula,MATCH(Y$4,PiN_Code,0))="Severity 1"),
IF(INDEX(INDIRECT(Y$4),MATCH($D6,IN_Admin2,0))&lt;INDEX(Severity_5,MATCH(Y$4,PiN_Code,0)),5,
IF(INDEX(INDIRECT(Y$4),MATCH($D6,IN_Admin2,0))&lt;INDEX(Severity_4,MATCH(Y$4,PiN_Code,0)),4,
IF(INDEX(INDIRECT(Y$4),MATCH($D6,IN_Admin2,0))&lt;INDEX(Severity_3,MATCH(Y$4,PiN_Code,0)),3,
IF(INDEX(INDIRECT(Y$4),MATCH($D6,IN_Admin2,0))&lt;INDEX(Severity_2,MATCH(Y$4,PiN_Code,0)),2,1)))),
IF(AND(INDEX(Logical_Operator,MATCH(Y$4,PiN_Code,0))="&lt;",INDEX(EndFormula,MATCH(Y$4,PiN_Code,0))="Severity 1 &amp; 2"),
IF(INDEX(INDIRECT(Y$4),MATCH($D6,IN_Admin2,0))&lt;INDEX(Severity_5,MATCH(Y$4,PiN_Code,0)),5,
IF(INDEX(INDIRECT(Y$4),MATCH($D6,IN_Admin2,0))&lt;INDEX(Severity_4,MATCH(Y$4,PiN_Code,0)),4,
IF(INDEX(INDIRECT(Y$4),MATCH($D6,IN_Admin2,0))&lt;INDEX(Severity_3,MATCH(Y$4,PiN_Code,0)),3,1))),
IF(AND(INDEX(Logical_Operator,MATCH(Y$4,PiN_Code,0))="&lt;",INDEX(EndFormula,MATCH(Y$4,PiN_Code,0))="Severity 5, no 2"),
IF(INDEX(INDIRECT(Y$4),MATCH($D6,IN_Admin2,0))&lt;INDEX(Severity_1,MATCH(Y$4,PiN_Code,0)),1,
IF(INDEX(INDIRECT(Y$4),MATCH($D6,IN_Admin2,0))&lt;INDEX(Severity_3,MATCH(Y$4,PiN_Code,0)),3,
IF(INDEX(INDIRECT(Y$4),MATCH($D6,IN_Admin2,0))&lt;INDEX(Severity_4,MATCH(Y$4,PiN_Code,0)),4,5))),
IF(AND(INDEX(Logical_Operator,MATCH(Y$4,PiN_Code,0))="&lt;",INDEX(EndFormula,MATCH(Y$4,PiN_Code,0))="Severity 5"),
IF(INDEX(INDIRECT(Y$4),MATCH($D6,IN_Admin2,0))&lt;INDEX(Severity_1,MATCH(Y$4,PiN_Code,0)),1,
IF(INDEX(INDIRECT(Y$4),MATCH($D6,IN_Admin2,0))&lt;INDEX(Severity_2,MATCH(Y$4,PiN_Code,0)),2,
IF(INDEX(INDIRECT(Y$4),MATCH($D6,IN_Admin2,0))&lt;INDEX(Severity_3,MATCH(Y$4,PiN_Code,0)),3,
IF(INDEX(INDIRECT(Y$4),MATCH($D6,IN_Admin2,0))&lt;INDEX(Severity_4,MATCH(Y$4,PiN_Code,0)),4,5)))),
IF(AND(INDEX(Logical_Operator,MATCH(Y$4,PiN_Code,0))="&lt;=",INDEX(EndFormula,MATCH(Y$4,PiN_Code,0))="Severity 1"),
IF(INDEX(INDIRECT(Y$4),MATCH($D6,IN_Admin2,0))&lt;=INDEX(Severity_5,MATCH(Y$4,PiN_Code,0)),5,
IF(INDEX(INDIRECT(Y$4),MATCH($D6,IN_Admin2,0))&lt;=INDEX(Severity_4,MATCH(Y$4,PiN_Code,0)),4,
IF(INDEX(INDIRECT(Y$4),MATCH($D6,IN_Admin2,0))&lt;=INDEX(Severity_3,MATCH(Y$4,PiN_Code,0)),3,
IF(INDEX(INDIRECT(Y$4),MATCH($D6,IN_Admin2,0))&lt;=INDEX(Severity_2,MATCH(Y$4,PiN_Code,0)),2,1)))),
IF(AND(INDEX(Logical_Operator,MATCH(Y$4,PiN_Code,0))="&lt;=",INDEX(EndFormula,MATCH(Y$4,PiN_Code,0))="Severity 1 &amp; 2"),
IF(INDEX(INDIRECT(Y$4),MATCH($D6,IN_Admin2,0))&lt;=INDEX(Severity_5,MATCH(Y$4,PiN_Code,0)),5,
IF(INDEX(INDIRECT(Y$4),MATCH($D6,IN_Admin2,0))&lt;=INDEX(Severity_4,MATCH(Y$4,PiN_Code,0)),4,
IF(INDEX(INDIRECT(Y$4),MATCH($D6,IN_Admin2,0))&lt;=INDEX(Severity_3,MATCH(Y$4,PiN_Code,0)),3,1))),
IF(AND(INDEX(Logical_Operator,MATCH(Y$4,PiN_Code,0))="&lt;=",INDEX(EndFormula,MATCH(Y$4,PiN_Code,0))="Severity 5, no 2"),
IF(INDEX(INDIRECT(Y$4),MATCH($D6,IN_Admin2,0))&lt;=INDEX(Severity_1,MATCH(Y$4,PiN_Code,0)),1,
IF(INDEX(INDIRECT(Y$4),MATCH($D6,IN_Admin2,0))&lt;=INDEX(Severity_3,MATCH(Y$4,PiN_Code,0)),3,
IF(INDEX(INDIRECT(Y$4),MATCH($D6,IN_Admin2,0))&lt;=INDEX(Severity_4,MATCH(Y$4,PiN_Code,0)),4,5))),
IF(AND(INDEX(Logical_Operator,MATCH(Y$4,PiN_Code,0))="&lt;=",INDEX(EndFormula,MATCH(Y$4,PiN_Code,0))="Severity 5"),
IF(INDEX(INDIRECT(Y$4),MATCH($D6,IN_Admin2,0))&lt;=INDEX(Severity_1,MATCH(Y$4,PiN_Code,0)),1,
IF(INDEX(INDIRECT(Y$4),MATCH($D6,IN_Admin2,0))&lt;=INDEX(Severity_2,MATCH(Y$4,PiN_Code,0)),2,
IF(INDEX(INDIRECT(Y$4),MATCH($D6,IN_Admin2,0))&lt;=INDEX(Severity_3,MATCH(Y$4,PiN_Code,0)),3,
IF(INDEX(INDIRECT(Y$4),MATCH($D6,IN_Admin2,0))&lt;=INDEX(Severity_4,MATCH(Y$4,PiN_Code,0)),4,5)))),
IF(AND(INDEX(Logical_Operator,MATCH(Y$4,PiN_Code,0))="&gt;=",INDEX(EndFormula,MATCH(Y$4,PiN_Code,0))="Severity 1"),
IF(INDEX(INDIRECT(Y$4),MATCH($D6,IN_Admin2,0))&gt;=INDEX(Severity_5,MATCH(Y$4,PiN_Code,0)),5,
IF(INDEX(INDIRECT(Y$4),MATCH($D6,IN_Admin2,0))&gt;=INDEX(Severity_4,MATCH(Y$4,PiN_Code,0)),4,
IF(INDEX(INDIRECT(Y$4),MATCH($D6,IN_Admin2,0))&gt;=INDEX(Severity_3,MATCH(Y$4,PiN_Code,0)),3,
IF(INDEX(INDIRECT(Y$4),MATCH($D6,IN_Admin2,0))&gt;=INDEX(Severity_2,MATCH(Y$4,PiN_Code,0)),2,1)))),
IF(AND(INDEX(Logical_Operator,MATCH(Y$4,PiN_Code,0))="&gt;=",INDEX(EndFormula,MATCH(Y$4,PiN_Code,0))="Severity 1 &amp; 2"),
IF(INDEX(INDIRECT(Y$4),MATCH($D6,IN_Admin2,0))&gt;=INDEX(Severity_5,MATCH(Y$4,PiN_Code,0)),5,
IF(INDEX(INDIRECT(Y$4),MATCH($D6,IN_Admin2,0))&gt;=INDEX(Severity_4,MATCH(Y$4,PiN_Code,0)),4,
IF(INDEX(INDIRECT(Y$4),MATCH($D6,IN_Admin2,0))&gt;=INDEX(Severity_3,MATCH(Y$4,PiN_Code,0)),3,1))),
IF(AND(INDEX(Logical_Operator,MATCH(Y$4,PiN_Code,0))="&gt;=",INDEX(EndFormula,MATCH(Y$4,PiN_Code,0))="Severity 5, no 2"),
IF(INDEX(INDIRECT(Y$4),MATCH($D6,IN_Admin2,0))&gt;=INDEX(Severity_1,MATCH(Y$4,PiN_Code,0)),1,
IF(INDEX(INDIRECT(Y$4),MATCH($D6,IN_Admin2,0))&gt;=INDEX(Severity_3,MATCH(Y$4,PiN_Code,0)),3,
IF(INDEX(INDIRECT(Y$4),MATCH($D6,IN_Admin2,0))&gt;=INDEX(Severity_4,MATCH(Y$4,PiN_Code,0)),4,5))),
IF(AND(INDEX(Logical_Operator,MATCH(Y$4,PiN_Code,0))="&gt;=",INDEX(EndFormula,MATCH(Y$4,PiN_Code,0))="Severity 5"),
IF(INDEX(INDIRECT(Y$4),MATCH($D6,IN_Admin2,0))&gt;=INDEX(Severity_1,MATCH(Y$4,PiN_Code,0)),1,
IF(INDEX(INDIRECT(Y$4),MATCH($D6,IN_Admin2,0))&gt;=INDEX(Severity_2,MATCH(Y$4,PiN_Code,0)),2,
IF(INDEX(INDIRECT(Y$4),MATCH($D6,IN_Admin2,0))&gt;=INDEX(Severity_3,MATCH(Y$4,PiN_Code,0)),3,
IF(INDEX(INDIRECT(Y$4),MATCH($D6,IN_Admin2,0))&gt;=INDEX(Severity_4,MATCH(Y$4,PiN_Code,0)),4,5)))),
IF(AND(INDEX(Logical_Operator,MATCH(Y$4,PiN_Code,0))="&gt;",INDEX(EndFormula,MATCH(Y$4,PiN_Code,0))="Severity 1"),
IF(INDEX(INDIRECT(Y$4),MATCH($D6,IN_Admin2,0))&gt;INDEX(Severity_5,MATCH(Y$4,PiN_Code,0)),5,
IF(INDEX(INDIRECT(Y$4),MATCH($D6,IN_Admin2,0))&gt;INDEX(Severity_4,MATCH(Y$4,PiN_Code,0)),4,
IF(INDEX(INDIRECT(Y$4),MATCH($D6,IN_Admin2,0))&gt;INDEX(Severity_3,MATCH(Y$4,PiN_Code,0)),3,
IF(INDEX(INDIRECT(Y$4),MATCH($D6,IN_Admin2,0))&gt;INDEX(Severity_2,MATCH(Y$4,PiN_Code,0)),2,1)))),
IF(AND(INDEX(Logical_Operator,MATCH(Y$4,PiN_Code,0))="&gt;",INDEX(EndFormula,MATCH(Y$4,PiN_Code,0))="Severity 1 &amp; 2"),
IF(INDEX(INDIRECT(Y$4),MATCH($D6,IN_Admin2,0))&gt;INDEX(Severity_5,MATCH(Y$4,PiN_Code,0)),5,
IF(INDEX(INDIRECT(Y$4),MATCH($D6,IN_Admin2,0))&gt;INDEX(Severity_4,MATCH(Y$4,PiN_Code,0)),4,
IF(INDEX(INDIRECT(Y$4),MATCH($D6,IN_Admin2,0))&gt;INDEX(Severity_3,MATCH(Y$4,PiN_Code,0)),3,1))),
IF(AND(INDEX(Logical_Operator,MATCH(Y$4,PiN_Code,0))="&gt;",INDEX(EndFormula,MATCH(Y$4,PiN_Code,0))="Severity 5, no 2"),
IF(INDEX(INDIRECT(Y$4),MATCH($D6,IN_Admin2,0))&gt;INDEX(Severity_1,MATCH(Y$4,PiN_Code,0)),1,
IF(INDEX(INDIRECT(Y$4),MATCH($D6,IN_Admin2,0))&gt;INDEX(Severity_3,MATCH(Y$4,PiN_Code,0)),3,
IF(INDEX(INDIRECT(Y$4),MATCH($D6,IN_Admin2,0))&gt;INDEX(Severity_4,MATCH(Y$4,PiN_Code,0)),4,5))),
IF(AND(INDEX(Logical_Operator,MATCH(Y$4,PiN_Code,0))="&gt;",INDEX(EndFormula,MATCH(Y$4,PiN_Code,0))="Severity 5"),
IF(INDEX(INDIRECT(Y$4),MATCH($D6,IN_Admin2,0))&gt;INDEX(Severity_1,MATCH(Y$4,PiN_Code,0)),1,
IF(INDEX(INDIRECT(Y$4),MATCH($D6,IN_Admin2,0))&gt;INDEX(Severity_2,MATCH(Y$4,PiN_Code,0)),2,
IF(INDEX(INDIRECT(Y$4),MATCH($D6,IN_Admin2,0))&gt;INDEX(Severity_3,MATCH(Y$4,PiN_Code,0)),3,
IF(INDEX(INDIRECT(Y$4),MATCH($D6,IN_Admin2,0))&gt;INDEX(Severity_4,MATCH(Y$4,PiN_Code,0)),4,5)))),
IF(AND(INDEX(Logical_Operator,MATCH(Y$4,PiN_Code,0))="=",INDEX(EndFormula,MATCH(Y$4,PiN_Code,0))="Severity 1"),
IF(INDEX(INDIRECT(Y$4),MATCH($D6,IN_Admin2,0))=INDEX(Severity_5,MATCH(Y$4,PiN_Code,0)),5,
IF(INDEX(INDIRECT(Y$4),MATCH($D6,IN_Admin2,0))=INDEX(Severity_4,MATCH(Y$4,PiN_Code,0)),4,
IF(INDEX(INDIRECT(Y$4),MATCH($D6,IN_Admin2,0))=INDEX(Severity_3,MATCH(Y$4,PiN_Code,0)),3,
IF(INDEX(INDIRECT(Y$4),MATCH($D6,IN_Admin2,0))=INDEX(Severity_2,MATCH(Y$4,PiN_Code,0)),2,1)))),
IF(INDEX(Logical_Operator,MATCH(Y$4,PiN_Code,0))="=",
INDEX(INDIRECT(Y$4),MATCH($D6,IN_Admin2,0)))))))))))))))))))))</f>
        <v>5</v>
      </c>
      <c r="Z6" s="77">
        <f ca="1">IF(INDEX(INDIRECT(Z$4),MATCH($D6,IN_Admin2,0))="","",
IF(AND(INDEX(Logical_Operator,MATCH(Z$4,PiN_Code,0))="&lt;",INDEX(EndFormula,MATCH(Z$4,PiN_Code,0))="Severity 1"),
IF(INDEX(INDIRECT(Z$4),MATCH($D6,IN_Admin2,0))&lt;INDEX(Severity_5,MATCH(Z$4,PiN_Code,0)),5,
IF(INDEX(INDIRECT(Z$4),MATCH($D6,IN_Admin2,0))&lt;INDEX(Severity_4,MATCH(Z$4,PiN_Code,0)),4,
IF(INDEX(INDIRECT(Z$4),MATCH($D6,IN_Admin2,0))&lt;INDEX(Severity_3,MATCH(Z$4,PiN_Code,0)),3,
IF(INDEX(INDIRECT(Z$4),MATCH($D6,IN_Admin2,0))&lt;INDEX(Severity_2,MATCH(Z$4,PiN_Code,0)),2,1)))),
IF(AND(INDEX(Logical_Operator,MATCH(Z$4,PiN_Code,0))="&lt;",INDEX(EndFormula,MATCH(Z$4,PiN_Code,0))="Severity 1 &amp; 2"),
IF(INDEX(INDIRECT(Z$4),MATCH($D6,IN_Admin2,0))&lt;INDEX(Severity_5,MATCH(Z$4,PiN_Code,0)),5,
IF(INDEX(INDIRECT(Z$4),MATCH($D6,IN_Admin2,0))&lt;INDEX(Severity_4,MATCH(Z$4,PiN_Code,0)),4,
IF(INDEX(INDIRECT(Z$4),MATCH($D6,IN_Admin2,0))&lt;INDEX(Severity_3,MATCH(Z$4,PiN_Code,0)),3,1))),
IF(AND(INDEX(Logical_Operator,MATCH(Z$4,PiN_Code,0))="&lt;",INDEX(EndFormula,MATCH(Z$4,PiN_Code,0))="Severity 5, no 2"),
IF(INDEX(INDIRECT(Z$4),MATCH($D6,IN_Admin2,0))&lt;INDEX(Severity_1,MATCH(Z$4,PiN_Code,0)),1,
IF(INDEX(INDIRECT(Z$4),MATCH($D6,IN_Admin2,0))&lt;INDEX(Severity_3,MATCH(Z$4,PiN_Code,0)),3,
IF(INDEX(INDIRECT(Z$4),MATCH($D6,IN_Admin2,0))&lt;INDEX(Severity_4,MATCH(Z$4,PiN_Code,0)),4,5))),
IF(AND(INDEX(Logical_Operator,MATCH(Z$4,PiN_Code,0))="&lt;",INDEX(EndFormula,MATCH(Z$4,PiN_Code,0))="Severity 5"),
IF(INDEX(INDIRECT(Z$4),MATCH($D6,IN_Admin2,0))&lt;INDEX(Severity_1,MATCH(Z$4,PiN_Code,0)),1,
IF(INDEX(INDIRECT(Z$4),MATCH($D6,IN_Admin2,0))&lt;INDEX(Severity_2,MATCH(Z$4,PiN_Code,0)),2,
IF(INDEX(INDIRECT(Z$4),MATCH($D6,IN_Admin2,0))&lt;INDEX(Severity_3,MATCH(Z$4,PiN_Code,0)),3,
IF(INDEX(INDIRECT(Z$4),MATCH($D6,IN_Admin2,0))&lt;INDEX(Severity_4,MATCH(Z$4,PiN_Code,0)),4,5)))),
IF(AND(INDEX(Logical_Operator,MATCH(Z$4,PiN_Code,0))="&lt;=",INDEX(EndFormula,MATCH(Z$4,PiN_Code,0))="Severity 1"),
IF(INDEX(INDIRECT(Z$4),MATCH($D6,IN_Admin2,0))&lt;=INDEX(Severity_5,MATCH(Z$4,PiN_Code,0)),5,
IF(INDEX(INDIRECT(Z$4),MATCH($D6,IN_Admin2,0))&lt;=INDEX(Severity_4,MATCH(Z$4,PiN_Code,0)),4,
IF(INDEX(INDIRECT(Z$4),MATCH($D6,IN_Admin2,0))&lt;=INDEX(Severity_3,MATCH(Z$4,PiN_Code,0)),3,
IF(INDEX(INDIRECT(Z$4),MATCH($D6,IN_Admin2,0))&lt;=INDEX(Severity_2,MATCH(Z$4,PiN_Code,0)),2,1)))),
IF(AND(INDEX(Logical_Operator,MATCH(Z$4,PiN_Code,0))="&lt;=",INDEX(EndFormula,MATCH(Z$4,PiN_Code,0))="Severity 1 &amp; 2"),
IF(INDEX(INDIRECT(Z$4),MATCH($D6,IN_Admin2,0))&lt;=INDEX(Severity_5,MATCH(Z$4,PiN_Code,0)),5,
IF(INDEX(INDIRECT(Z$4),MATCH($D6,IN_Admin2,0))&lt;=INDEX(Severity_4,MATCH(Z$4,PiN_Code,0)),4,
IF(INDEX(INDIRECT(Z$4),MATCH($D6,IN_Admin2,0))&lt;=INDEX(Severity_3,MATCH(Z$4,PiN_Code,0)),3,1))),
IF(AND(INDEX(Logical_Operator,MATCH(Z$4,PiN_Code,0))="&lt;=",INDEX(EndFormula,MATCH(Z$4,PiN_Code,0))="Severity 5, no 2"),
IF(INDEX(INDIRECT(Z$4),MATCH($D6,IN_Admin2,0))&lt;=INDEX(Severity_1,MATCH(Z$4,PiN_Code,0)),1,
IF(INDEX(INDIRECT(Z$4),MATCH($D6,IN_Admin2,0))&lt;=INDEX(Severity_3,MATCH(Z$4,PiN_Code,0)),3,
IF(INDEX(INDIRECT(Z$4),MATCH($D6,IN_Admin2,0))&lt;=INDEX(Severity_4,MATCH(Z$4,PiN_Code,0)),4,5))),
IF(AND(INDEX(Logical_Operator,MATCH(Z$4,PiN_Code,0))="&lt;=",INDEX(EndFormula,MATCH(Z$4,PiN_Code,0))="Severity 5"),
IF(INDEX(INDIRECT(Z$4),MATCH($D6,IN_Admin2,0))&lt;=INDEX(Severity_1,MATCH(Z$4,PiN_Code,0)),1,
IF(INDEX(INDIRECT(Z$4),MATCH($D6,IN_Admin2,0))&lt;=INDEX(Severity_2,MATCH(Z$4,PiN_Code,0)),2,
IF(INDEX(INDIRECT(Z$4),MATCH($D6,IN_Admin2,0))&lt;=INDEX(Severity_3,MATCH(Z$4,PiN_Code,0)),3,
IF(INDEX(INDIRECT(Z$4),MATCH($D6,IN_Admin2,0))&lt;=INDEX(Severity_4,MATCH(Z$4,PiN_Code,0)),4,5)))),
IF(AND(INDEX(Logical_Operator,MATCH(Z$4,PiN_Code,0))="&gt;=",INDEX(EndFormula,MATCH(Z$4,PiN_Code,0))="Severity 1"),
IF(INDEX(INDIRECT(Z$4),MATCH($D6,IN_Admin2,0))&gt;=INDEX(Severity_5,MATCH(Z$4,PiN_Code,0)),5,
IF(INDEX(INDIRECT(Z$4),MATCH($D6,IN_Admin2,0))&gt;=INDEX(Severity_4,MATCH(Z$4,PiN_Code,0)),4,
IF(INDEX(INDIRECT(Z$4),MATCH($D6,IN_Admin2,0))&gt;=INDEX(Severity_3,MATCH(Z$4,PiN_Code,0)),3,
IF(INDEX(INDIRECT(Z$4),MATCH($D6,IN_Admin2,0))&gt;=INDEX(Severity_2,MATCH(Z$4,PiN_Code,0)),2,1)))),
IF(AND(INDEX(Logical_Operator,MATCH(Z$4,PiN_Code,0))="&gt;=",INDEX(EndFormula,MATCH(Z$4,PiN_Code,0))="Severity 1 &amp; 2"),
IF(INDEX(INDIRECT(Z$4),MATCH($D6,IN_Admin2,0))&gt;=INDEX(Severity_5,MATCH(Z$4,PiN_Code,0)),5,
IF(INDEX(INDIRECT(Z$4),MATCH($D6,IN_Admin2,0))&gt;=INDEX(Severity_4,MATCH(Z$4,PiN_Code,0)),4,
IF(INDEX(INDIRECT(Z$4),MATCH($D6,IN_Admin2,0))&gt;=INDEX(Severity_3,MATCH(Z$4,PiN_Code,0)),3,1))),
IF(AND(INDEX(Logical_Operator,MATCH(Z$4,PiN_Code,0))="&gt;=",INDEX(EndFormula,MATCH(Z$4,PiN_Code,0))="Severity 5, no 2"),
IF(INDEX(INDIRECT(Z$4),MATCH($D6,IN_Admin2,0))&gt;=INDEX(Severity_1,MATCH(Z$4,PiN_Code,0)),1,
IF(INDEX(INDIRECT(Z$4),MATCH($D6,IN_Admin2,0))&gt;=INDEX(Severity_3,MATCH(Z$4,PiN_Code,0)),3,
IF(INDEX(INDIRECT(Z$4),MATCH($D6,IN_Admin2,0))&gt;=INDEX(Severity_4,MATCH(Z$4,PiN_Code,0)),4,5))),
IF(AND(INDEX(Logical_Operator,MATCH(Z$4,PiN_Code,0))="&gt;=",INDEX(EndFormula,MATCH(Z$4,PiN_Code,0))="Severity 5"),
IF(INDEX(INDIRECT(Z$4),MATCH($D6,IN_Admin2,0))&gt;=INDEX(Severity_1,MATCH(Z$4,PiN_Code,0)),1,
IF(INDEX(INDIRECT(Z$4),MATCH($D6,IN_Admin2,0))&gt;=INDEX(Severity_2,MATCH(Z$4,PiN_Code,0)),2,
IF(INDEX(INDIRECT(Z$4),MATCH($D6,IN_Admin2,0))&gt;=INDEX(Severity_3,MATCH(Z$4,PiN_Code,0)),3,
IF(INDEX(INDIRECT(Z$4),MATCH($D6,IN_Admin2,0))&gt;=INDEX(Severity_4,MATCH(Z$4,PiN_Code,0)),4,5)))),
IF(AND(INDEX(Logical_Operator,MATCH(Z$4,PiN_Code,0))="&gt;",INDEX(EndFormula,MATCH(Z$4,PiN_Code,0))="Severity 1"),
IF(INDEX(INDIRECT(Z$4),MATCH($D6,IN_Admin2,0))&gt;INDEX(Severity_5,MATCH(Z$4,PiN_Code,0)),5,
IF(INDEX(INDIRECT(Z$4),MATCH($D6,IN_Admin2,0))&gt;INDEX(Severity_4,MATCH(Z$4,PiN_Code,0)),4,
IF(INDEX(INDIRECT(Z$4),MATCH($D6,IN_Admin2,0))&gt;INDEX(Severity_3,MATCH(Z$4,PiN_Code,0)),3,
IF(INDEX(INDIRECT(Z$4),MATCH($D6,IN_Admin2,0))&gt;INDEX(Severity_2,MATCH(Z$4,PiN_Code,0)),2,1)))),
IF(AND(INDEX(Logical_Operator,MATCH(Z$4,PiN_Code,0))="&gt;",INDEX(EndFormula,MATCH(Z$4,PiN_Code,0))="Severity 1 &amp; 2"),
IF(INDEX(INDIRECT(Z$4),MATCH($D6,IN_Admin2,0))&gt;INDEX(Severity_5,MATCH(Z$4,PiN_Code,0)),5,
IF(INDEX(INDIRECT(Z$4),MATCH($D6,IN_Admin2,0))&gt;INDEX(Severity_4,MATCH(Z$4,PiN_Code,0)),4,
IF(INDEX(INDIRECT(Z$4),MATCH($D6,IN_Admin2,0))&gt;INDEX(Severity_3,MATCH(Z$4,PiN_Code,0)),3,1))),
IF(AND(INDEX(Logical_Operator,MATCH(Z$4,PiN_Code,0))="&gt;",INDEX(EndFormula,MATCH(Z$4,PiN_Code,0))="Severity 5, no 2"),
IF(INDEX(INDIRECT(Z$4),MATCH($D6,IN_Admin2,0))&gt;INDEX(Severity_1,MATCH(Z$4,PiN_Code,0)),1,
IF(INDEX(INDIRECT(Z$4),MATCH($D6,IN_Admin2,0))&gt;INDEX(Severity_3,MATCH(Z$4,PiN_Code,0)),3,
IF(INDEX(INDIRECT(Z$4),MATCH($D6,IN_Admin2,0))&gt;INDEX(Severity_4,MATCH(Z$4,PiN_Code,0)),4,5))),
IF(AND(INDEX(Logical_Operator,MATCH(Z$4,PiN_Code,0))="&gt;",INDEX(EndFormula,MATCH(Z$4,PiN_Code,0))="Severity 5"),
IF(INDEX(INDIRECT(Z$4),MATCH($D6,IN_Admin2,0))&gt;INDEX(Severity_1,MATCH(Z$4,PiN_Code,0)),1,
IF(INDEX(INDIRECT(Z$4),MATCH($D6,IN_Admin2,0))&gt;INDEX(Severity_2,MATCH(Z$4,PiN_Code,0)),2,
IF(INDEX(INDIRECT(Z$4),MATCH($D6,IN_Admin2,0))&gt;INDEX(Severity_3,MATCH(Z$4,PiN_Code,0)),3,
IF(INDEX(INDIRECT(Z$4),MATCH($D6,IN_Admin2,0))&gt;INDEX(Severity_4,MATCH(Z$4,PiN_Code,0)),4,5)))),
IF(AND(INDEX(Logical_Operator,MATCH(Z$4,PiN_Code,0))="=",INDEX(EndFormula,MATCH(Z$4,PiN_Code,0))="Severity 1"),
IF(INDEX(INDIRECT(Z$4),MATCH($D6,IN_Admin2,0))=INDEX(Severity_5,MATCH(Z$4,PiN_Code,0)),5,
IF(INDEX(INDIRECT(Z$4),MATCH($D6,IN_Admin2,0))=INDEX(Severity_4,MATCH(Z$4,PiN_Code,0)),4,
IF(INDEX(INDIRECT(Z$4),MATCH($D6,IN_Admin2,0))=INDEX(Severity_3,MATCH(Z$4,PiN_Code,0)),3,
IF(INDEX(INDIRECT(Z$4),MATCH($D6,IN_Admin2,0))=INDEX(Severity_2,MATCH(Z$4,PiN_Code,0)),2,1)))),
IF(INDEX(Logical_Operator,MATCH(Z$4,PiN_Code,0))="=",
INDEX(INDIRECT(Z$4),MATCH($D6,IN_Admin2,0)))))))))))))))))))))</f>
        <v>5</v>
      </c>
      <c r="AA6" s="41"/>
      <c r="AB6" s="77">
        <f t="shared" ref="AB6:AI25" ca="1" si="14">IF(INDEX(INDIRECT(AB$4),MATCH($D6,IN_Admin2,0))="","",
IF(AND(INDEX(Logical_Operator,MATCH(AB$4,PiN_Code,0))="&lt;",INDEX(EndFormula,MATCH(AB$4,PiN_Code,0))="Severity 1"),
IF(INDEX(INDIRECT(AB$4),MATCH($D6,IN_Admin2,0))&lt;INDEX(Severity_5,MATCH(AB$4,PiN_Code,0)),5,
IF(INDEX(INDIRECT(AB$4),MATCH($D6,IN_Admin2,0))&lt;INDEX(Severity_4,MATCH(AB$4,PiN_Code,0)),4,
IF(INDEX(INDIRECT(AB$4),MATCH($D6,IN_Admin2,0))&lt;INDEX(Severity_3,MATCH(AB$4,PiN_Code,0)),3,
IF(INDEX(INDIRECT(AB$4),MATCH($D6,IN_Admin2,0))&lt;INDEX(Severity_2,MATCH(AB$4,PiN_Code,0)),2,1)))),
IF(AND(INDEX(Logical_Operator,MATCH(AB$4,PiN_Code,0))="&lt;",INDEX(EndFormula,MATCH(AB$4,PiN_Code,0))="Severity 1 &amp; 2"),
IF(INDEX(INDIRECT(AB$4),MATCH($D6,IN_Admin2,0))&lt;INDEX(Severity_5,MATCH(AB$4,PiN_Code,0)),5,
IF(INDEX(INDIRECT(AB$4),MATCH($D6,IN_Admin2,0))&lt;INDEX(Severity_4,MATCH(AB$4,PiN_Code,0)),4,
IF(INDEX(INDIRECT(AB$4),MATCH($D6,IN_Admin2,0))&lt;INDEX(Severity_3,MATCH(AB$4,PiN_Code,0)),3,1))),
IF(AND(INDEX(Logical_Operator,MATCH(AB$4,PiN_Code,0))="&lt;",INDEX(EndFormula,MATCH(AB$4,PiN_Code,0))="Severity 5, no 2"),
IF(INDEX(INDIRECT(AB$4),MATCH($D6,IN_Admin2,0))&lt;INDEX(Severity_1,MATCH(AB$4,PiN_Code,0)),1,
IF(INDEX(INDIRECT(AB$4),MATCH($D6,IN_Admin2,0))&lt;INDEX(Severity_3,MATCH(AB$4,PiN_Code,0)),3,
IF(INDEX(INDIRECT(AB$4),MATCH($D6,IN_Admin2,0))&lt;INDEX(Severity_4,MATCH(AB$4,PiN_Code,0)),4,5))),
IF(AND(INDEX(Logical_Operator,MATCH(AB$4,PiN_Code,0))="&lt;",INDEX(EndFormula,MATCH(AB$4,PiN_Code,0))="Severity 5"),
IF(INDEX(INDIRECT(AB$4),MATCH($D6,IN_Admin2,0))&lt;INDEX(Severity_1,MATCH(AB$4,PiN_Code,0)),1,
IF(INDEX(INDIRECT(AB$4),MATCH($D6,IN_Admin2,0))&lt;INDEX(Severity_2,MATCH(AB$4,PiN_Code,0)),2,
IF(INDEX(INDIRECT(AB$4),MATCH($D6,IN_Admin2,0))&lt;INDEX(Severity_3,MATCH(AB$4,PiN_Code,0)),3,
IF(INDEX(INDIRECT(AB$4),MATCH($D6,IN_Admin2,0))&lt;INDEX(Severity_4,MATCH(AB$4,PiN_Code,0)),4,5)))),
IF(AND(INDEX(Logical_Operator,MATCH(AB$4,PiN_Code,0))="&lt;=",INDEX(EndFormula,MATCH(AB$4,PiN_Code,0))="Severity 1"),
IF(INDEX(INDIRECT(AB$4),MATCH($D6,IN_Admin2,0))&lt;=INDEX(Severity_5,MATCH(AB$4,PiN_Code,0)),5,
IF(INDEX(INDIRECT(AB$4),MATCH($D6,IN_Admin2,0))&lt;=INDEX(Severity_4,MATCH(AB$4,PiN_Code,0)),4,
IF(INDEX(INDIRECT(AB$4),MATCH($D6,IN_Admin2,0))&lt;=INDEX(Severity_3,MATCH(AB$4,PiN_Code,0)),3,
IF(INDEX(INDIRECT(AB$4),MATCH($D6,IN_Admin2,0))&lt;=INDEX(Severity_2,MATCH(AB$4,PiN_Code,0)),2,1)))),
IF(AND(INDEX(Logical_Operator,MATCH(AB$4,PiN_Code,0))="&lt;=",INDEX(EndFormula,MATCH(AB$4,PiN_Code,0))="Severity 1 &amp; 2"),
IF(INDEX(INDIRECT(AB$4),MATCH($D6,IN_Admin2,0))&lt;=INDEX(Severity_5,MATCH(AB$4,PiN_Code,0)),5,
IF(INDEX(INDIRECT(AB$4),MATCH($D6,IN_Admin2,0))&lt;=INDEX(Severity_4,MATCH(AB$4,PiN_Code,0)),4,
IF(INDEX(INDIRECT(AB$4),MATCH($D6,IN_Admin2,0))&lt;=INDEX(Severity_3,MATCH(AB$4,PiN_Code,0)),3,1))),
IF(AND(INDEX(Logical_Operator,MATCH(AB$4,PiN_Code,0))="&lt;=",INDEX(EndFormula,MATCH(AB$4,PiN_Code,0))="Severity 5, no 2"),
IF(INDEX(INDIRECT(AB$4),MATCH($D6,IN_Admin2,0))&lt;=INDEX(Severity_1,MATCH(AB$4,PiN_Code,0)),1,
IF(INDEX(INDIRECT(AB$4),MATCH($D6,IN_Admin2,0))&lt;=INDEX(Severity_3,MATCH(AB$4,PiN_Code,0)),3,
IF(INDEX(INDIRECT(AB$4),MATCH($D6,IN_Admin2,0))&lt;=INDEX(Severity_4,MATCH(AB$4,PiN_Code,0)),4,5))),
IF(AND(INDEX(Logical_Operator,MATCH(AB$4,PiN_Code,0))="&lt;=",INDEX(EndFormula,MATCH(AB$4,PiN_Code,0))="Severity 5"),
IF(INDEX(INDIRECT(AB$4),MATCH($D6,IN_Admin2,0))&lt;=INDEX(Severity_1,MATCH(AB$4,PiN_Code,0)),1,
IF(INDEX(INDIRECT(AB$4),MATCH($D6,IN_Admin2,0))&lt;=INDEX(Severity_2,MATCH(AB$4,PiN_Code,0)),2,
IF(INDEX(INDIRECT(AB$4),MATCH($D6,IN_Admin2,0))&lt;=INDEX(Severity_3,MATCH(AB$4,PiN_Code,0)),3,
IF(INDEX(INDIRECT(AB$4),MATCH($D6,IN_Admin2,0))&lt;=INDEX(Severity_4,MATCH(AB$4,PiN_Code,0)),4,5)))),
IF(AND(INDEX(Logical_Operator,MATCH(AB$4,PiN_Code,0))="&gt;=",INDEX(EndFormula,MATCH(AB$4,PiN_Code,0))="Severity 1"),
IF(INDEX(INDIRECT(AB$4),MATCH($D6,IN_Admin2,0))&gt;=INDEX(Severity_5,MATCH(AB$4,PiN_Code,0)),5,
IF(INDEX(INDIRECT(AB$4),MATCH($D6,IN_Admin2,0))&gt;=INDEX(Severity_4,MATCH(AB$4,PiN_Code,0)),4,
IF(INDEX(INDIRECT(AB$4),MATCH($D6,IN_Admin2,0))&gt;=INDEX(Severity_3,MATCH(AB$4,PiN_Code,0)),3,
IF(INDEX(INDIRECT(AB$4),MATCH($D6,IN_Admin2,0))&gt;=INDEX(Severity_2,MATCH(AB$4,PiN_Code,0)),2,1)))),
IF(AND(INDEX(Logical_Operator,MATCH(AB$4,PiN_Code,0))="&gt;=",INDEX(EndFormula,MATCH(AB$4,PiN_Code,0))="Severity 1 &amp; 2"),
IF(INDEX(INDIRECT(AB$4),MATCH($D6,IN_Admin2,0))&gt;=INDEX(Severity_5,MATCH(AB$4,PiN_Code,0)),5,
IF(INDEX(INDIRECT(AB$4),MATCH($D6,IN_Admin2,0))&gt;=INDEX(Severity_4,MATCH(AB$4,PiN_Code,0)),4,
IF(INDEX(INDIRECT(AB$4),MATCH($D6,IN_Admin2,0))&gt;=INDEX(Severity_3,MATCH(AB$4,PiN_Code,0)),3,1))),
IF(AND(INDEX(Logical_Operator,MATCH(AB$4,PiN_Code,0))="&gt;=",INDEX(EndFormula,MATCH(AB$4,PiN_Code,0))="Severity 5, no 2"),
IF(INDEX(INDIRECT(AB$4),MATCH($D6,IN_Admin2,0))&gt;=INDEX(Severity_1,MATCH(AB$4,PiN_Code,0)),1,
IF(INDEX(INDIRECT(AB$4),MATCH($D6,IN_Admin2,0))&gt;=INDEX(Severity_3,MATCH(AB$4,PiN_Code,0)),3,
IF(INDEX(INDIRECT(AB$4),MATCH($D6,IN_Admin2,0))&gt;=INDEX(Severity_4,MATCH(AB$4,PiN_Code,0)),4,5))),
IF(AND(INDEX(Logical_Operator,MATCH(AB$4,PiN_Code,0))="&gt;=",INDEX(EndFormula,MATCH(AB$4,PiN_Code,0))="Severity 5"),
IF(INDEX(INDIRECT(AB$4),MATCH($D6,IN_Admin2,0))&gt;=INDEX(Severity_1,MATCH(AB$4,PiN_Code,0)),1,
IF(INDEX(INDIRECT(AB$4),MATCH($D6,IN_Admin2,0))&gt;=INDEX(Severity_2,MATCH(AB$4,PiN_Code,0)),2,
IF(INDEX(INDIRECT(AB$4),MATCH($D6,IN_Admin2,0))&gt;=INDEX(Severity_3,MATCH(AB$4,PiN_Code,0)),3,
IF(INDEX(INDIRECT(AB$4),MATCH($D6,IN_Admin2,0))&gt;=INDEX(Severity_4,MATCH(AB$4,PiN_Code,0)),4,5)))),
IF(AND(INDEX(Logical_Operator,MATCH(AB$4,PiN_Code,0))="&gt;",INDEX(EndFormula,MATCH(AB$4,PiN_Code,0))="Severity 1"),
IF(INDEX(INDIRECT(AB$4),MATCH($D6,IN_Admin2,0))&gt;INDEX(Severity_5,MATCH(AB$4,PiN_Code,0)),5,
IF(INDEX(INDIRECT(AB$4),MATCH($D6,IN_Admin2,0))&gt;INDEX(Severity_4,MATCH(AB$4,PiN_Code,0)),4,
IF(INDEX(INDIRECT(AB$4),MATCH($D6,IN_Admin2,0))&gt;INDEX(Severity_3,MATCH(AB$4,PiN_Code,0)),3,
IF(INDEX(INDIRECT(AB$4),MATCH($D6,IN_Admin2,0))&gt;INDEX(Severity_2,MATCH(AB$4,PiN_Code,0)),2,1)))),
IF(AND(INDEX(Logical_Operator,MATCH(AB$4,PiN_Code,0))="&gt;",INDEX(EndFormula,MATCH(AB$4,PiN_Code,0))="Severity 1 &amp; 2"),
IF(INDEX(INDIRECT(AB$4),MATCH($D6,IN_Admin2,0))&gt;INDEX(Severity_5,MATCH(AB$4,PiN_Code,0)),5,
IF(INDEX(INDIRECT(AB$4),MATCH($D6,IN_Admin2,0))&gt;INDEX(Severity_4,MATCH(AB$4,PiN_Code,0)),4,
IF(INDEX(INDIRECT(AB$4),MATCH($D6,IN_Admin2,0))&gt;INDEX(Severity_3,MATCH(AB$4,PiN_Code,0)),3,1))),
IF(AND(INDEX(Logical_Operator,MATCH(AB$4,PiN_Code,0))="&gt;",INDEX(EndFormula,MATCH(AB$4,PiN_Code,0))="Severity 5, no 2"),
IF(INDEX(INDIRECT(AB$4),MATCH($D6,IN_Admin2,0))&gt;INDEX(Severity_1,MATCH(AB$4,PiN_Code,0)),1,
IF(INDEX(INDIRECT(AB$4),MATCH($D6,IN_Admin2,0))&gt;INDEX(Severity_3,MATCH(AB$4,PiN_Code,0)),3,
IF(INDEX(INDIRECT(AB$4),MATCH($D6,IN_Admin2,0))&gt;INDEX(Severity_4,MATCH(AB$4,PiN_Code,0)),4,5))),
IF(AND(INDEX(Logical_Operator,MATCH(AB$4,PiN_Code,0))="&gt;",INDEX(EndFormula,MATCH(AB$4,PiN_Code,0))="Severity 5"),
IF(INDEX(INDIRECT(AB$4),MATCH($D6,IN_Admin2,0))&gt;INDEX(Severity_1,MATCH(AB$4,PiN_Code,0)),1,
IF(INDEX(INDIRECT(AB$4),MATCH($D6,IN_Admin2,0))&gt;INDEX(Severity_2,MATCH(AB$4,PiN_Code,0)),2,
IF(INDEX(INDIRECT(AB$4),MATCH($D6,IN_Admin2,0))&gt;INDEX(Severity_3,MATCH(AB$4,PiN_Code,0)),3,
IF(INDEX(INDIRECT(AB$4),MATCH($D6,IN_Admin2,0))&gt;INDEX(Severity_4,MATCH(AB$4,PiN_Code,0)),4,5)))),
IF(AND(INDEX(Logical_Operator,MATCH(AB$4,PiN_Code,0))="=",INDEX(EndFormula,MATCH(AB$4,PiN_Code,0))="Severity 1"),
IF(INDEX(INDIRECT(AB$4),MATCH($D6,IN_Admin2,0))=INDEX(Severity_5,MATCH(AB$4,PiN_Code,0)),5,
IF(INDEX(INDIRECT(AB$4),MATCH($D6,IN_Admin2,0))=INDEX(Severity_4,MATCH(AB$4,PiN_Code,0)),4,
IF(INDEX(INDIRECT(AB$4),MATCH($D6,IN_Admin2,0))=INDEX(Severity_3,MATCH(AB$4,PiN_Code,0)),3,
IF(INDEX(INDIRECT(AB$4),MATCH($D6,IN_Admin2,0))=INDEX(Severity_2,MATCH(AB$4,PiN_Code,0)),2,1)))),
IF(INDEX(Logical_Operator,MATCH(AB$4,PiN_Code,0))="=",
INDEX(INDIRECT(AB$4),MATCH($D6,IN_Admin2,0)))))))))))))))))))))</f>
        <v>1</v>
      </c>
      <c r="AC6" s="77">
        <f t="shared" ca="1" si="14"/>
        <v>4</v>
      </c>
      <c r="AD6" s="77">
        <f t="shared" ca="1" si="14"/>
        <v>5</v>
      </c>
      <c r="AE6" s="77">
        <f t="shared" ca="1" si="14"/>
        <v>1</v>
      </c>
      <c r="AF6" s="77">
        <f t="shared" ca="1" si="14"/>
        <v>5</v>
      </c>
      <c r="AG6" s="77" t="str">
        <f t="shared" ca="1" si="14"/>
        <v/>
      </c>
      <c r="AH6" s="77" t="str">
        <f t="shared" ca="1" si="14"/>
        <v/>
      </c>
      <c r="AI6" s="77" t="str">
        <f t="shared" ca="1" si="14"/>
        <v/>
      </c>
      <c r="AJ6" s="41"/>
      <c r="AK6" s="77">
        <f t="shared" ref="AK6:AL25" ca="1" si="15">IF(INDEX(INDIRECT(AK$4),MATCH($D6,IN_Admin2,0))="","",
IF(AND(INDEX(Logical_Operator,MATCH(AK$4,PiN_Code,0))="&lt;",INDEX(EndFormula,MATCH(AK$4,PiN_Code,0))="Severity 1"),
IF(INDEX(INDIRECT(AK$4),MATCH($D6,IN_Admin2,0))&lt;INDEX(Severity_5,MATCH(AK$4,PiN_Code,0)),5,
IF(INDEX(INDIRECT(AK$4),MATCH($D6,IN_Admin2,0))&lt;INDEX(Severity_4,MATCH(AK$4,PiN_Code,0)),4,
IF(INDEX(INDIRECT(AK$4),MATCH($D6,IN_Admin2,0))&lt;INDEX(Severity_3,MATCH(AK$4,PiN_Code,0)),3,
IF(INDEX(INDIRECT(AK$4),MATCH($D6,IN_Admin2,0))&lt;INDEX(Severity_2,MATCH(AK$4,PiN_Code,0)),2,1)))),
IF(AND(INDEX(Logical_Operator,MATCH(AK$4,PiN_Code,0))="&lt;",INDEX(EndFormula,MATCH(AK$4,PiN_Code,0))="Severity 1 &amp; 2"),
IF(INDEX(INDIRECT(AK$4),MATCH($D6,IN_Admin2,0))&lt;INDEX(Severity_5,MATCH(AK$4,PiN_Code,0)),5,
IF(INDEX(INDIRECT(AK$4),MATCH($D6,IN_Admin2,0))&lt;INDEX(Severity_4,MATCH(AK$4,PiN_Code,0)),4,
IF(INDEX(INDIRECT(AK$4),MATCH($D6,IN_Admin2,0))&lt;INDEX(Severity_3,MATCH(AK$4,PiN_Code,0)),3,1))),
IF(AND(INDEX(Logical_Operator,MATCH(AK$4,PiN_Code,0))="&lt;",INDEX(EndFormula,MATCH(AK$4,PiN_Code,0))="Severity 5, no 2"),
IF(INDEX(INDIRECT(AK$4),MATCH($D6,IN_Admin2,0))&lt;INDEX(Severity_1,MATCH(AK$4,PiN_Code,0)),1,
IF(INDEX(INDIRECT(AK$4),MATCH($D6,IN_Admin2,0))&lt;INDEX(Severity_3,MATCH(AK$4,PiN_Code,0)),3,
IF(INDEX(INDIRECT(AK$4),MATCH($D6,IN_Admin2,0))&lt;INDEX(Severity_4,MATCH(AK$4,PiN_Code,0)),4,5))),
IF(AND(INDEX(Logical_Operator,MATCH(AK$4,PiN_Code,0))="&lt;",INDEX(EndFormula,MATCH(AK$4,PiN_Code,0))="Severity 5"),
IF(INDEX(INDIRECT(AK$4),MATCH($D6,IN_Admin2,0))&lt;INDEX(Severity_1,MATCH(AK$4,PiN_Code,0)),1,
IF(INDEX(INDIRECT(AK$4),MATCH($D6,IN_Admin2,0))&lt;INDEX(Severity_2,MATCH(AK$4,PiN_Code,0)),2,
IF(INDEX(INDIRECT(AK$4),MATCH($D6,IN_Admin2,0))&lt;INDEX(Severity_3,MATCH(AK$4,PiN_Code,0)),3,
IF(INDEX(INDIRECT(AK$4),MATCH($D6,IN_Admin2,0))&lt;INDEX(Severity_4,MATCH(AK$4,PiN_Code,0)),4,5)))),
IF(AND(INDEX(Logical_Operator,MATCH(AK$4,PiN_Code,0))="&lt;=",INDEX(EndFormula,MATCH(AK$4,PiN_Code,0))="Severity 1"),
IF(INDEX(INDIRECT(AK$4),MATCH($D6,IN_Admin2,0))&lt;=INDEX(Severity_5,MATCH(AK$4,PiN_Code,0)),5,
IF(INDEX(INDIRECT(AK$4),MATCH($D6,IN_Admin2,0))&lt;=INDEX(Severity_4,MATCH(AK$4,PiN_Code,0)),4,
IF(INDEX(INDIRECT(AK$4),MATCH($D6,IN_Admin2,0))&lt;=INDEX(Severity_3,MATCH(AK$4,PiN_Code,0)),3,
IF(INDEX(INDIRECT(AK$4),MATCH($D6,IN_Admin2,0))&lt;=INDEX(Severity_2,MATCH(AK$4,PiN_Code,0)),2,1)))),
IF(AND(INDEX(Logical_Operator,MATCH(AK$4,PiN_Code,0))="&lt;=",INDEX(EndFormula,MATCH(AK$4,PiN_Code,0))="Severity 1 &amp; 2"),
IF(INDEX(INDIRECT(AK$4),MATCH($D6,IN_Admin2,0))&lt;=INDEX(Severity_5,MATCH(AK$4,PiN_Code,0)),5,
IF(INDEX(INDIRECT(AK$4),MATCH($D6,IN_Admin2,0))&lt;=INDEX(Severity_4,MATCH(AK$4,PiN_Code,0)),4,
IF(INDEX(INDIRECT(AK$4),MATCH($D6,IN_Admin2,0))&lt;=INDEX(Severity_3,MATCH(AK$4,PiN_Code,0)),3,1))),
IF(AND(INDEX(Logical_Operator,MATCH(AK$4,PiN_Code,0))="&lt;=",INDEX(EndFormula,MATCH(AK$4,PiN_Code,0))="Severity 5, no 2"),
IF(INDEX(INDIRECT(AK$4),MATCH($D6,IN_Admin2,0))&lt;=INDEX(Severity_1,MATCH(AK$4,PiN_Code,0)),1,
IF(INDEX(INDIRECT(AK$4),MATCH($D6,IN_Admin2,0))&lt;=INDEX(Severity_3,MATCH(AK$4,PiN_Code,0)),3,
IF(INDEX(INDIRECT(AK$4),MATCH($D6,IN_Admin2,0))&lt;=INDEX(Severity_4,MATCH(AK$4,PiN_Code,0)),4,5))),
IF(AND(INDEX(Logical_Operator,MATCH(AK$4,PiN_Code,0))="&lt;=",INDEX(EndFormula,MATCH(AK$4,PiN_Code,0))="Severity 5"),
IF(INDEX(INDIRECT(AK$4),MATCH($D6,IN_Admin2,0))&lt;=INDEX(Severity_1,MATCH(AK$4,PiN_Code,0)),1,
IF(INDEX(INDIRECT(AK$4),MATCH($D6,IN_Admin2,0))&lt;=INDEX(Severity_2,MATCH(AK$4,PiN_Code,0)),2,
IF(INDEX(INDIRECT(AK$4),MATCH($D6,IN_Admin2,0))&lt;=INDEX(Severity_3,MATCH(AK$4,PiN_Code,0)),3,
IF(INDEX(INDIRECT(AK$4),MATCH($D6,IN_Admin2,0))&lt;=INDEX(Severity_4,MATCH(AK$4,PiN_Code,0)),4,5)))),
IF(AND(INDEX(Logical_Operator,MATCH(AK$4,PiN_Code,0))="&gt;=",INDEX(EndFormula,MATCH(AK$4,PiN_Code,0))="Severity 1"),
IF(INDEX(INDIRECT(AK$4),MATCH($D6,IN_Admin2,0))&gt;=INDEX(Severity_5,MATCH(AK$4,PiN_Code,0)),5,
IF(INDEX(INDIRECT(AK$4),MATCH($D6,IN_Admin2,0))&gt;=INDEX(Severity_4,MATCH(AK$4,PiN_Code,0)),4,
IF(INDEX(INDIRECT(AK$4),MATCH($D6,IN_Admin2,0))&gt;=INDEX(Severity_3,MATCH(AK$4,PiN_Code,0)),3,
IF(INDEX(INDIRECT(AK$4),MATCH($D6,IN_Admin2,0))&gt;=INDEX(Severity_2,MATCH(AK$4,PiN_Code,0)),2,1)))),
IF(AND(INDEX(Logical_Operator,MATCH(AK$4,PiN_Code,0))="&gt;=",INDEX(EndFormula,MATCH(AK$4,PiN_Code,0))="Severity 1 &amp; 2"),
IF(INDEX(INDIRECT(AK$4),MATCH($D6,IN_Admin2,0))&gt;=INDEX(Severity_5,MATCH(AK$4,PiN_Code,0)),5,
IF(INDEX(INDIRECT(AK$4),MATCH($D6,IN_Admin2,0))&gt;=INDEX(Severity_4,MATCH(AK$4,PiN_Code,0)),4,
IF(INDEX(INDIRECT(AK$4),MATCH($D6,IN_Admin2,0))&gt;=INDEX(Severity_3,MATCH(AK$4,PiN_Code,0)),3,1))),
IF(AND(INDEX(Logical_Operator,MATCH(AK$4,PiN_Code,0))="&gt;=",INDEX(EndFormula,MATCH(AK$4,PiN_Code,0))="Severity 5, no 2"),
IF(INDEX(INDIRECT(AK$4),MATCH($D6,IN_Admin2,0))&gt;=INDEX(Severity_1,MATCH(AK$4,PiN_Code,0)),1,
IF(INDEX(INDIRECT(AK$4),MATCH($D6,IN_Admin2,0))&gt;=INDEX(Severity_3,MATCH(AK$4,PiN_Code,0)),3,
IF(INDEX(INDIRECT(AK$4),MATCH($D6,IN_Admin2,0))&gt;=INDEX(Severity_4,MATCH(AK$4,PiN_Code,0)),4,5))),
IF(AND(INDEX(Logical_Operator,MATCH(AK$4,PiN_Code,0))="&gt;=",INDEX(EndFormula,MATCH(AK$4,PiN_Code,0))="Severity 5"),
IF(INDEX(INDIRECT(AK$4),MATCH($D6,IN_Admin2,0))&gt;=INDEX(Severity_1,MATCH(AK$4,PiN_Code,0)),1,
IF(INDEX(INDIRECT(AK$4),MATCH($D6,IN_Admin2,0))&gt;=INDEX(Severity_2,MATCH(AK$4,PiN_Code,0)),2,
IF(INDEX(INDIRECT(AK$4),MATCH($D6,IN_Admin2,0))&gt;=INDEX(Severity_3,MATCH(AK$4,PiN_Code,0)),3,
IF(INDEX(INDIRECT(AK$4),MATCH($D6,IN_Admin2,0))&gt;=INDEX(Severity_4,MATCH(AK$4,PiN_Code,0)),4,5)))),
IF(AND(INDEX(Logical_Operator,MATCH(AK$4,PiN_Code,0))="&gt;",INDEX(EndFormula,MATCH(AK$4,PiN_Code,0))="Severity 1"),
IF(INDEX(INDIRECT(AK$4),MATCH($D6,IN_Admin2,0))&gt;INDEX(Severity_5,MATCH(AK$4,PiN_Code,0)),5,
IF(INDEX(INDIRECT(AK$4),MATCH($D6,IN_Admin2,0))&gt;INDEX(Severity_4,MATCH(AK$4,PiN_Code,0)),4,
IF(INDEX(INDIRECT(AK$4),MATCH($D6,IN_Admin2,0))&gt;INDEX(Severity_3,MATCH(AK$4,PiN_Code,0)),3,
IF(INDEX(INDIRECT(AK$4),MATCH($D6,IN_Admin2,0))&gt;INDEX(Severity_2,MATCH(AK$4,PiN_Code,0)),2,1)))),
IF(AND(INDEX(Logical_Operator,MATCH(AK$4,PiN_Code,0))="&gt;",INDEX(EndFormula,MATCH(AK$4,PiN_Code,0))="Severity 1 &amp; 2"),
IF(INDEX(INDIRECT(AK$4),MATCH($D6,IN_Admin2,0))&gt;INDEX(Severity_5,MATCH(AK$4,PiN_Code,0)),5,
IF(INDEX(INDIRECT(AK$4),MATCH($D6,IN_Admin2,0))&gt;INDEX(Severity_4,MATCH(AK$4,PiN_Code,0)),4,
IF(INDEX(INDIRECT(AK$4),MATCH($D6,IN_Admin2,0))&gt;INDEX(Severity_3,MATCH(AK$4,PiN_Code,0)),3,1))),
IF(AND(INDEX(Logical_Operator,MATCH(AK$4,PiN_Code,0))="&gt;",INDEX(EndFormula,MATCH(AK$4,PiN_Code,0))="Severity 5, no 2"),
IF(INDEX(INDIRECT(AK$4),MATCH($D6,IN_Admin2,0))&gt;INDEX(Severity_1,MATCH(AK$4,PiN_Code,0)),1,
IF(INDEX(INDIRECT(AK$4),MATCH($D6,IN_Admin2,0))&gt;INDEX(Severity_3,MATCH(AK$4,PiN_Code,0)),3,
IF(INDEX(INDIRECT(AK$4),MATCH($D6,IN_Admin2,0))&gt;INDEX(Severity_4,MATCH(AK$4,PiN_Code,0)),4,5))),
IF(AND(INDEX(Logical_Operator,MATCH(AK$4,PiN_Code,0))="&gt;",INDEX(EndFormula,MATCH(AK$4,PiN_Code,0))="Severity 5"),
IF(INDEX(INDIRECT(AK$4),MATCH($D6,IN_Admin2,0))&gt;INDEX(Severity_1,MATCH(AK$4,PiN_Code,0)),1,
IF(INDEX(INDIRECT(AK$4),MATCH($D6,IN_Admin2,0))&gt;INDEX(Severity_2,MATCH(AK$4,PiN_Code,0)),2,
IF(INDEX(INDIRECT(AK$4),MATCH($D6,IN_Admin2,0))&gt;INDEX(Severity_3,MATCH(AK$4,PiN_Code,0)),3,
IF(INDEX(INDIRECT(AK$4),MATCH($D6,IN_Admin2,0))&gt;INDEX(Severity_4,MATCH(AK$4,PiN_Code,0)),4,5)))),
IF(AND(INDEX(Logical_Operator,MATCH(AK$4,PiN_Code,0))="=",INDEX(EndFormula,MATCH(AK$4,PiN_Code,0))="Severity 1"),
IF(INDEX(INDIRECT(AK$4),MATCH($D6,IN_Admin2,0))=INDEX(Severity_5,MATCH(AK$4,PiN_Code,0)),5,
IF(INDEX(INDIRECT(AK$4),MATCH($D6,IN_Admin2,0))=INDEX(Severity_4,MATCH(AK$4,PiN_Code,0)),4,
IF(INDEX(INDIRECT(AK$4),MATCH($D6,IN_Admin2,0))=INDEX(Severity_3,MATCH(AK$4,PiN_Code,0)),3,
IF(INDEX(INDIRECT(AK$4),MATCH($D6,IN_Admin2,0))=INDEX(Severity_2,MATCH(AK$4,PiN_Code,0)),2,1)))),
IF(INDEX(Logical_Operator,MATCH(AK$4,PiN_Code,0))="=",
INDEX(INDIRECT(AK$4),MATCH($D6,IN_Admin2,0)))))))))))))))))))))</f>
        <v>1</v>
      </c>
      <c r="AL6" s="77">
        <f t="shared" ca="1" si="15"/>
        <v>4</v>
      </c>
      <c r="AM6" s="80"/>
      <c r="AN6" s="77">
        <f t="shared" ref="AN6:AN37" ca="1" si="16">IF(INDEX(INDIRECT(AN$4),MATCH($D6,IN_Admin2,0))="","",
IF(AND(INDEX(Logical_Operator,MATCH(AN$4,PiN_Code,0))="&lt;",INDEX(EndFormula,MATCH(AN$4,PiN_Code,0))="Severity 1"),
IF(INDEX(INDIRECT(AN$4),MATCH($D6,IN_Admin2,0))&lt;INDEX(Severity_5,MATCH(AN$4,PiN_Code,0)),5,
IF(INDEX(INDIRECT(AN$4),MATCH($D6,IN_Admin2,0))&lt;INDEX(Severity_4,MATCH(AN$4,PiN_Code,0)),4,
IF(INDEX(INDIRECT(AN$4),MATCH($D6,IN_Admin2,0))&lt;INDEX(Severity_3,MATCH(AN$4,PiN_Code,0)),3,
IF(INDEX(INDIRECT(AN$4),MATCH($D6,IN_Admin2,0))&lt;INDEX(Severity_2,MATCH(AN$4,PiN_Code,0)),2,1)))),
IF(AND(INDEX(Logical_Operator,MATCH(AN$4,PiN_Code,0))="&lt;",INDEX(EndFormula,MATCH(AN$4,PiN_Code,0))="Severity 1 &amp; 2"),
IF(INDEX(INDIRECT(AN$4),MATCH($D6,IN_Admin2,0))&lt;INDEX(Severity_5,MATCH(AN$4,PiN_Code,0)),5,
IF(INDEX(INDIRECT(AN$4),MATCH($D6,IN_Admin2,0))&lt;INDEX(Severity_4,MATCH(AN$4,PiN_Code,0)),4,
IF(INDEX(INDIRECT(AN$4),MATCH($D6,IN_Admin2,0))&lt;INDEX(Severity_3,MATCH(AN$4,PiN_Code,0)),3,1))),
IF(AND(INDEX(Logical_Operator,MATCH(AN$4,PiN_Code,0))="&lt;",INDEX(EndFormula,MATCH(AN$4,PiN_Code,0))="Severity 5, no 2"),
IF(INDEX(INDIRECT(AN$4),MATCH($D6,IN_Admin2,0))&lt;INDEX(Severity_1,MATCH(AN$4,PiN_Code,0)),1,
IF(INDEX(INDIRECT(AN$4),MATCH($D6,IN_Admin2,0))&lt;INDEX(Severity_3,MATCH(AN$4,PiN_Code,0)),3,
IF(INDEX(INDIRECT(AN$4),MATCH($D6,IN_Admin2,0))&lt;INDEX(Severity_4,MATCH(AN$4,PiN_Code,0)),4,5))),
IF(AND(INDEX(Logical_Operator,MATCH(AN$4,PiN_Code,0))="&lt;",INDEX(EndFormula,MATCH(AN$4,PiN_Code,0))="Severity 5"),
IF(INDEX(INDIRECT(AN$4),MATCH($D6,IN_Admin2,0))&lt;INDEX(Severity_1,MATCH(AN$4,PiN_Code,0)),1,
IF(INDEX(INDIRECT(AN$4),MATCH($D6,IN_Admin2,0))&lt;INDEX(Severity_2,MATCH(AN$4,PiN_Code,0)),2,
IF(INDEX(INDIRECT(AN$4),MATCH($D6,IN_Admin2,0))&lt;INDEX(Severity_3,MATCH(AN$4,PiN_Code,0)),3,
IF(INDEX(INDIRECT(AN$4),MATCH($D6,IN_Admin2,0))&lt;INDEX(Severity_4,MATCH(AN$4,PiN_Code,0)),4,5)))),
IF(AND(INDEX(Logical_Operator,MATCH(AN$4,PiN_Code,0))="&lt;=",INDEX(EndFormula,MATCH(AN$4,PiN_Code,0))="Severity 1"),
IF(INDEX(INDIRECT(AN$4),MATCH($D6,IN_Admin2,0))&lt;=INDEX(Severity_5,MATCH(AN$4,PiN_Code,0)),5,
IF(INDEX(INDIRECT(AN$4),MATCH($D6,IN_Admin2,0))&lt;=INDEX(Severity_4,MATCH(AN$4,PiN_Code,0)),4,
IF(INDEX(INDIRECT(AN$4),MATCH($D6,IN_Admin2,0))&lt;=INDEX(Severity_3,MATCH(AN$4,PiN_Code,0)),3,
IF(INDEX(INDIRECT(AN$4),MATCH($D6,IN_Admin2,0))&lt;=INDEX(Severity_2,MATCH(AN$4,PiN_Code,0)),2,1)))),
IF(AND(INDEX(Logical_Operator,MATCH(AN$4,PiN_Code,0))="&lt;=",INDEX(EndFormula,MATCH(AN$4,PiN_Code,0))="Severity 1 &amp; 2"),
IF(INDEX(INDIRECT(AN$4),MATCH($D6,IN_Admin2,0))&lt;=INDEX(Severity_5,MATCH(AN$4,PiN_Code,0)),5,
IF(INDEX(INDIRECT(AN$4),MATCH($D6,IN_Admin2,0))&lt;=INDEX(Severity_4,MATCH(AN$4,PiN_Code,0)),4,
IF(INDEX(INDIRECT(AN$4),MATCH($D6,IN_Admin2,0))&lt;=INDEX(Severity_3,MATCH(AN$4,PiN_Code,0)),3,1))),
IF(AND(INDEX(Logical_Operator,MATCH(AN$4,PiN_Code,0))="&lt;=",INDEX(EndFormula,MATCH(AN$4,PiN_Code,0))="Severity 5, no 2"),
IF(INDEX(INDIRECT(AN$4),MATCH($D6,IN_Admin2,0))&lt;=INDEX(Severity_1,MATCH(AN$4,PiN_Code,0)),1,
IF(INDEX(INDIRECT(AN$4),MATCH($D6,IN_Admin2,0))&lt;=INDEX(Severity_3,MATCH(AN$4,PiN_Code,0)),3,
IF(INDEX(INDIRECT(AN$4),MATCH($D6,IN_Admin2,0))&lt;=INDEX(Severity_4,MATCH(AN$4,PiN_Code,0)),4,5))),
IF(AND(INDEX(Logical_Operator,MATCH(AN$4,PiN_Code,0))="&lt;=",INDEX(EndFormula,MATCH(AN$4,PiN_Code,0))="Severity 5"),
IF(INDEX(INDIRECT(AN$4),MATCH($D6,IN_Admin2,0))&lt;=INDEX(Severity_1,MATCH(AN$4,PiN_Code,0)),1,
IF(INDEX(INDIRECT(AN$4),MATCH($D6,IN_Admin2,0))&lt;=INDEX(Severity_2,MATCH(AN$4,PiN_Code,0)),2,
IF(INDEX(INDIRECT(AN$4),MATCH($D6,IN_Admin2,0))&lt;=INDEX(Severity_3,MATCH(AN$4,PiN_Code,0)),3,
IF(INDEX(INDIRECT(AN$4),MATCH($D6,IN_Admin2,0))&lt;=INDEX(Severity_4,MATCH(AN$4,PiN_Code,0)),4,5)))),
IF(AND(INDEX(Logical_Operator,MATCH(AN$4,PiN_Code,0))="&gt;=",INDEX(EndFormula,MATCH(AN$4,PiN_Code,0))="Severity 1"),
IF(INDEX(INDIRECT(AN$4),MATCH($D6,IN_Admin2,0))&gt;=INDEX(Severity_5,MATCH(AN$4,PiN_Code,0)),5,
IF(INDEX(INDIRECT(AN$4),MATCH($D6,IN_Admin2,0))&gt;=INDEX(Severity_4,MATCH(AN$4,PiN_Code,0)),4,
IF(INDEX(INDIRECT(AN$4),MATCH($D6,IN_Admin2,0))&gt;=INDEX(Severity_3,MATCH(AN$4,PiN_Code,0)),3,
IF(INDEX(INDIRECT(AN$4),MATCH($D6,IN_Admin2,0))&gt;=INDEX(Severity_2,MATCH(AN$4,PiN_Code,0)),2,1)))),
IF(AND(INDEX(Logical_Operator,MATCH(AN$4,PiN_Code,0))="&gt;=",INDEX(EndFormula,MATCH(AN$4,PiN_Code,0))="Severity 1 &amp; 2"),
IF(INDEX(INDIRECT(AN$4),MATCH($D6,IN_Admin2,0))&gt;=INDEX(Severity_5,MATCH(AN$4,PiN_Code,0)),5,
IF(INDEX(INDIRECT(AN$4),MATCH($D6,IN_Admin2,0))&gt;=INDEX(Severity_4,MATCH(AN$4,PiN_Code,0)),4,
IF(INDEX(INDIRECT(AN$4),MATCH($D6,IN_Admin2,0))&gt;=INDEX(Severity_3,MATCH(AN$4,PiN_Code,0)),3,1))),
IF(AND(INDEX(Logical_Operator,MATCH(AN$4,PiN_Code,0))="&gt;=",INDEX(EndFormula,MATCH(AN$4,PiN_Code,0))="Severity 5, no 2"),
IF(INDEX(INDIRECT(AN$4),MATCH($D6,IN_Admin2,0))&gt;=INDEX(Severity_1,MATCH(AN$4,PiN_Code,0)),1,
IF(INDEX(INDIRECT(AN$4),MATCH($D6,IN_Admin2,0))&gt;=INDEX(Severity_3,MATCH(AN$4,PiN_Code,0)),3,
IF(INDEX(INDIRECT(AN$4),MATCH($D6,IN_Admin2,0))&gt;=INDEX(Severity_4,MATCH(AN$4,PiN_Code,0)),4,5))),
IF(AND(INDEX(Logical_Operator,MATCH(AN$4,PiN_Code,0))="&gt;=",INDEX(EndFormula,MATCH(AN$4,PiN_Code,0))="Severity 5"),
IF(INDEX(INDIRECT(AN$4),MATCH($D6,IN_Admin2,0))&gt;=INDEX(Severity_1,MATCH(AN$4,PiN_Code,0)),1,
IF(INDEX(INDIRECT(AN$4),MATCH($D6,IN_Admin2,0))&gt;=INDEX(Severity_2,MATCH(AN$4,PiN_Code,0)),2,
IF(INDEX(INDIRECT(AN$4),MATCH($D6,IN_Admin2,0))&gt;=INDEX(Severity_3,MATCH(AN$4,PiN_Code,0)),3,
IF(INDEX(INDIRECT(AN$4),MATCH($D6,IN_Admin2,0))&gt;=INDEX(Severity_4,MATCH(AN$4,PiN_Code,0)),4,5)))),
IF(AND(INDEX(Logical_Operator,MATCH(AN$4,PiN_Code,0))="&gt;",INDEX(EndFormula,MATCH(AN$4,PiN_Code,0))="Severity 1"),
IF(INDEX(INDIRECT(AN$4),MATCH($D6,IN_Admin2,0))&gt;INDEX(Severity_5,MATCH(AN$4,PiN_Code,0)),5,
IF(INDEX(INDIRECT(AN$4),MATCH($D6,IN_Admin2,0))&gt;INDEX(Severity_4,MATCH(AN$4,PiN_Code,0)),4,
IF(INDEX(INDIRECT(AN$4),MATCH($D6,IN_Admin2,0))&gt;INDEX(Severity_3,MATCH(AN$4,PiN_Code,0)),3,
IF(INDEX(INDIRECT(AN$4),MATCH($D6,IN_Admin2,0))&gt;INDEX(Severity_2,MATCH(AN$4,PiN_Code,0)),2,1)))),
IF(AND(INDEX(Logical_Operator,MATCH(AN$4,PiN_Code,0))="&gt;",INDEX(EndFormula,MATCH(AN$4,PiN_Code,0))="Severity 1 &amp; 2"),
IF(INDEX(INDIRECT(AN$4),MATCH($D6,IN_Admin2,0))&gt;INDEX(Severity_5,MATCH(AN$4,PiN_Code,0)),5,
IF(INDEX(INDIRECT(AN$4),MATCH($D6,IN_Admin2,0))&gt;INDEX(Severity_4,MATCH(AN$4,PiN_Code,0)),4,
IF(INDEX(INDIRECT(AN$4),MATCH($D6,IN_Admin2,0))&gt;INDEX(Severity_3,MATCH(AN$4,PiN_Code,0)),3,1))),
IF(AND(INDEX(Logical_Operator,MATCH(AN$4,PiN_Code,0))="&gt;",INDEX(EndFormula,MATCH(AN$4,PiN_Code,0))="Severity 5, no 2"),
IF(INDEX(INDIRECT(AN$4),MATCH($D6,IN_Admin2,0))&gt;INDEX(Severity_1,MATCH(AN$4,PiN_Code,0)),1,
IF(INDEX(INDIRECT(AN$4),MATCH($D6,IN_Admin2,0))&gt;INDEX(Severity_3,MATCH(AN$4,PiN_Code,0)),3,
IF(INDEX(INDIRECT(AN$4),MATCH($D6,IN_Admin2,0))&gt;INDEX(Severity_4,MATCH(AN$4,PiN_Code,0)),4,5))),
IF(AND(INDEX(Logical_Operator,MATCH(AN$4,PiN_Code,0))="&gt;",INDEX(EndFormula,MATCH(AN$4,PiN_Code,0))="Severity 5"),
IF(INDEX(INDIRECT(AN$4),MATCH($D6,IN_Admin2,0))&gt;INDEX(Severity_1,MATCH(AN$4,PiN_Code,0)),1,
IF(INDEX(INDIRECT(AN$4),MATCH($D6,IN_Admin2,0))&gt;INDEX(Severity_2,MATCH(AN$4,PiN_Code,0)),2,
IF(INDEX(INDIRECT(AN$4),MATCH($D6,IN_Admin2,0))&gt;INDEX(Severity_3,MATCH(AN$4,PiN_Code,0)),3,
IF(INDEX(INDIRECT(AN$4),MATCH($D6,IN_Admin2,0))&gt;INDEX(Severity_4,MATCH(AN$4,PiN_Code,0)),4,5)))),
IF(AND(INDEX(Logical_Operator,MATCH(AN$4,PiN_Code,0))="=",INDEX(EndFormula,MATCH(AN$4,PiN_Code,0))="Severity 1"),
IF(INDEX(INDIRECT(AN$4),MATCH($D6,IN_Admin2,0))=INDEX(Severity_5,MATCH(AN$4,PiN_Code,0)),5,
IF(INDEX(INDIRECT(AN$4),MATCH($D6,IN_Admin2,0))=INDEX(Severity_4,MATCH(AN$4,PiN_Code,0)),4,
IF(INDEX(INDIRECT(AN$4),MATCH($D6,IN_Admin2,0))=INDEX(Severity_3,MATCH(AN$4,PiN_Code,0)),3,
IF(INDEX(INDIRECT(AN$4),MATCH($D6,IN_Admin2,0))=INDEX(Severity_2,MATCH(AN$4,PiN_Code,0)),2,1)))),
IF(INDEX(Logical_Operator,MATCH(AN$4,PiN_Code,0))="=",
INDEX(INDIRECT(AN$4),MATCH($D6,IN_Admin2,0)))))))))))))))))))))</f>
        <v>4</v>
      </c>
    </row>
    <row r="7" spans="3:40" x14ac:dyDescent="0.4">
      <c r="C7" s="17" t="str">
        <f>Indicator_Input!$B5</f>
        <v>Arnor</v>
      </c>
      <c r="D7" s="17" t="str">
        <f>Indicator_Input!$C5</f>
        <v>Cardolan</v>
      </c>
      <c r="E7" s="76">
        <f t="shared" ca="1" si="11"/>
        <v>0</v>
      </c>
      <c r="F7" s="76">
        <f t="shared" ca="1" si="11"/>
        <v>0</v>
      </c>
      <c r="G7" s="76">
        <f t="shared" ca="1" si="11"/>
        <v>0</v>
      </c>
      <c r="H7" s="76">
        <f t="shared" ca="1" si="11"/>
        <v>3651.6600000000008</v>
      </c>
      <c r="I7" s="76">
        <f t="shared" ca="1" si="11"/>
        <v>0</v>
      </c>
      <c r="J7" s="76">
        <f t="shared" ca="1" si="11"/>
        <v>0</v>
      </c>
      <c r="K7" s="76">
        <f t="shared" ca="1" si="11"/>
        <v>0</v>
      </c>
      <c r="L7" s="76">
        <f t="shared" ca="1" si="11"/>
        <v>10549.24</v>
      </c>
      <c r="M7" s="41"/>
      <c r="N7" s="76">
        <f t="shared" ca="1" si="12"/>
        <v>2028.7</v>
      </c>
      <c r="O7" s="76">
        <f t="shared" ca="1" si="12"/>
        <v>10752.11</v>
      </c>
      <c r="P7" s="76">
        <f t="shared" ca="1" si="12"/>
        <v>12983.679999999998</v>
      </c>
      <c r="Q7" s="76">
        <f t="shared" ca="1" si="12"/>
        <v>0</v>
      </c>
      <c r="R7" s="76">
        <f t="shared" ca="1" si="12"/>
        <v>4260.2700000000013</v>
      </c>
      <c r="S7" s="41"/>
      <c r="T7" s="76">
        <f t="shared" ca="1" si="13"/>
        <v>11091</v>
      </c>
      <c r="U7" s="76">
        <f t="shared" ca="1" si="12"/>
        <v>1177</v>
      </c>
      <c r="V7" s="40"/>
      <c r="W7" s="77">
        <f t="shared" ref="W7:W61" ca="1" si="17">IF(INDEX(INDIRECT(W$4),MATCH($D7,IN_Admin2,0))="","",
IF(AND(INDEX(Logical_Operator,MATCH(W$4,PiN_Code,0))="&lt;",INDEX(EndFormula,MATCH(W$4,PiN_Code,0))="Severity 1"),
IF(INDEX(INDIRECT(W$4),MATCH($D7,IN_Admin2,0))&lt;INDEX(Severity_5,MATCH(W$4,PiN_Code,0)),5,
IF(INDEX(INDIRECT(W$4),MATCH($D7,IN_Admin2,0))&lt;INDEX(Severity_4,MATCH(W$4,PiN_Code,0)),4,
IF(INDEX(INDIRECT(W$4),MATCH($D7,IN_Admin2,0))&lt;INDEX(Severity_3,MATCH(W$4,PiN_Code,0)),3,
IF(INDEX(INDIRECT(W$4),MATCH($D7,IN_Admin2,0))&lt;INDEX(Severity_2,MATCH(W$4,PiN_Code,0)),2,1)))),
IF(AND(INDEX(Logical_Operator,MATCH(W$4,PiN_Code,0))="&lt;",INDEX(EndFormula,MATCH(W$4,PiN_Code,0))="Severity 1 &amp; 2"),
IF(INDEX(INDIRECT(W$4),MATCH($D7,IN_Admin2,0))&lt;INDEX(Severity_5,MATCH(W$4,PiN_Code,0)),5,
IF(INDEX(INDIRECT(W$4),MATCH($D7,IN_Admin2,0))&lt;INDEX(Severity_4,MATCH(W$4,PiN_Code,0)),4,
IF(INDEX(INDIRECT(W$4),MATCH($D7,IN_Admin2,0))&lt;INDEX(Severity_3,MATCH(W$4,PiN_Code,0)),3,1))),
IF(AND(INDEX(Logical_Operator,MATCH(W$4,PiN_Code,0))="&lt;",INDEX(EndFormula,MATCH(W$4,PiN_Code,0))="Severity 5, no 2"),
IF(INDEX(INDIRECT(W$4),MATCH($D7,IN_Admin2,0))&lt;INDEX(Severity_1,MATCH(W$4,PiN_Code,0)),1,
IF(INDEX(INDIRECT(W$4),MATCH($D7,IN_Admin2,0))&lt;INDEX(Severity_3,MATCH(W$4,PiN_Code,0)),3,
IF(INDEX(INDIRECT(W$4),MATCH($D7,IN_Admin2,0))&lt;INDEX(Severity_4,MATCH(W$4,PiN_Code,0)),4,5))),
IF(AND(INDEX(Logical_Operator,MATCH(W$4,PiN_Code,0))="&lt;",INDEX(EndFormula,MATCH(W$4,PiN_Code,0))="Severity 5"),
IF(INDEX(INDIRECT(W$4),MATCH($D7,IN_Admin2,0))&lt;INDEX(Severity_1,MATCH(W$4,PiN_Code,0)),1,
IF(INDEX(INDIRECT(W$4),MATCH($D7,IN_Admin2,0))&lt;INDEX(Severity_2,MATCH(W$4,PiN_Code,0)),2,
IF(INDEX(INDIRECT(W$4),MATCH($D7,IN_Admin2,0))&lt;INDEX(Severity_3,MATCH(W$4,PiN_Code,0)),3,
IF(INDEX(INDIRECT(W$4),MATCH($D7,IN_Admin2,0))&lt;INDEX(Severity_4,MATCH(W$4,PiN_Code,0)),4,5)))),
IF(AND(INDEX(Logical_Operator,MATCH(W$4,PiN_Code,0))="&lt;=",INDEX(EndFormula,MATCH(W$4,PiN_Code,0))="Severity 1"),
IF(INDEX(INDIRECT(W$4),MATCH($D7,IN_Admin2,0))&lt;=INDEX(Severity_5,MATCH(W$4,PiN_Code,0)),5,
IF(INDEX(INDIRECT(W$4),MATCH($D7,IN_Admin2,0))&lt;=INDEX(Severity_4,MATCH(W$4,PiN_Code,0)),4,
IF(INDEX(INDIRECT(W$4),MATCH($D7,IN_Admin2,0))&lt;=INDEX(Severity_3,MATCH(W$4,PiN_Code,0)),3,
IF(INDEX(INDIRECT(W$4),MATCH($D7,IN_Admin2,0))&lt;=INDEX(Severity_2,MATCH(W$4,PiN_Code,0)),2,1)))),
IF(AND(INDEX(Logical_Operator,MATCH(W$4,PiN_Code,0))="&lt;=",INDEX(EndFormula,MATCH(W$4,PiN_Code,0))="Severity 1 &amp; 2"),
IF(INDEX(INDIRECT(W$4),MATCH($D7,IN_Admin2,0))&lt;=INDEX(Severity_5,MATCH(W$4,PiN_Code,0)),5,
IF(INDEX(INDIRECT(W$4),MATCH($D7,IN_Admin2,0))&lt;=INDEX(Severity_4,MATCH(W$4,PiN_Code,0)),4,
IF(INDEX(INDIRECT(W$4),MATCH($D7,IN_Admin2,0))&lt;=INDEX(Severity_3,MATCH(W$4,PiN_Code,0)),3,1))),
IF(AND(INDEX(Logical_Operator,MATCH(W$4,PiN_Code,0))="&lt;=",INDEX(EndFormula,MATCH(W$4,PiN_Code,0))="Severity 5, no 2"),
IF(INDEX(INDIRECT(W$4),MATCH($D7,IN_Admin2,0))&lt;=INDEX(Severity_1,MATCH(W$4,PiN_Code,0)),1,
IF(INDEX(INDIRECT(W$4),MATCH($D7,IN_Admin2,0))&lt;=INDEX(Severity_3,MATCH(W$4,PiN_Code,0)),3,
IF(INDEX(INDIRECT(W$4),MATCH($D7,IN_Admin2,0))&lt;=INDEX(Severity_4,MATCH(W$4,PiN_Code,0)),4,5))),
IF(AND(INDEX(Logical_Operator,MATCH(W$4,PiN_Code,0))="&lt;=",INDEX(EndFormula,MATCH(W$4,PiN_Code,0))="Severity 5"),
IF(INDEX(INDIRECT(W$4),MATCH($D7,IN_Admin2,0))&lt;=INDEX(Severity_1,MATCH(W$4,PiN_Code,0)),1,
IF(INDEX(INDIRECT(W$4),MATCH($D7,IN_Admin2,0))&lt;=INDEX(Severity_2,MATCH(W$4,PiN_Code,0)),2,
IF(INDEX(INDIRECT(W$4),MATCH($D7,IN_Admin2,0))&lt;=INDEX(Severity_3,MATCH(W$4,PiN_Code,0)),3,
IF(INDEX(INDIRECT(W$4),MATCH($D7,IN_Admin2,0))&lt;=INDEX(Severity_4,MATCH(W$4,PiN_Code,0)),4,5)))),
IF(AND(INDEX(Logical_Operator,MATCH(W$4,PiN_Code,0))="&gt;=",INDEX(EndFormula,MATCH(W$4,PiN_Code,0))="Severity 1"),
IF(INDEX(INDIRECT(W$4),MATCH($D7,IN_Admin2,0))&gt;=INDEX(Severity_5,MATCH(W$4,PiN_Code,0)),5,
IF(INDEX(INDIRECT(W$4),MATCH($D7,IN_Admin2,0))&gt;=INDEX(Severity_4,MATCH(W$4,PiN_Code,0)),4,
IF(INDEX(INDIRECT(W$4),MATCH($D7,IN_Admin2,0))&gt;=INDEX(Severity_3,MATCH(W$4,PiN_Code,0)),3,
IF(INDEX(INDIRECT(W$4),MATCH($D7,IN_Admin2,0))&gt;=INDEX(Severity_2,MATCH(W$4,PiN_Code,0)),2,1)))),
IF(AND(INDEX(Logical_Operator,MATCH(W$4,PiN_Code,0))="&gt;=",INDEX(EndFormula,MATCH(W$4,PiN_Code,0))="Severity 1 &amp; 2"),
IF(INDEX(INDIRECT(W$4),MATCH($D7,IN_Admin2,0))&gt;=INDEX(Severity_5,MATCH(W$4,PiN_Code,0)),5,
IF(INDEX(INDIRECT(W$4),MATCH($D7,IN_Admin2,0))&gt;=INDEX(Severity_4,MATCH(W$4,PiN_Code,0)),4,
IF(INDEX(INDIRECT(W$4),MATCH($D7,IN_Admin2,0))&gt;=INDEX(Severity_3,MATCH(W$4,PiN_Code,0)),3,1))),
IF(AND(INDEX(Logical_Operator,MATCH(W$4,PiN_Code,0))="&gt;=",INDEX(EndFormula,MATCH(W$4,PiN_Code,0))="Severity 5, no 2"),
IF(INDEX(INDIRECT(W$4),MATCH($D7,IN_Admin2,0))&gt;=INDEX(Severity_1,MATCH(W$4,PiN_Code,0)),1,
IF(INDEX(INDIRECT(W$4),MATCH($D7,IN_Admin2,0))&gt;=INDEX(Severity_3,MATCH(W$4,PiN_Code,0)),3,
IF(INDEX(INDIRECT(W$4),MATCH($D7,IN_Admin2,0))&gt;=INDEX(Severity_4,MATCH(W$4,PiN_Code,0)),4,5))),
IF(AND(INDEX(Logical_Operator,MATCH(W$4,PiN_Code,0))="&gt;=",INDEX(EndFormula,MATCH(W$4,PiN_Code,0))="Severity 5"),
IF(INDEX(INDIRECT(W$4),MATCH($D7,IN_Admin2,0))&gt;=INDEX(Severity_1,MATCH(W$4,PiN_Code,0)),1,
IF(INDEX(INDIRECT(W$4),MATCH($D7,IN_Admin2,0))&gt;=INDEX(Severity_2,MATCH(W$4,PiN_Code,0)),2,
IF(INDEX(INDIRECT(W$4),MATCH($D7,IN_Admin2,0))&gt;=INDEX(Severity_3,MATCH(W$4,PiN_Code,0)),3,
IF(INDEX(INDIRECT(W$4),MATCH($D7,IN_Admin2,0))&gt;=INDEX(Severity_4,MATCH(W$4,PiN_Code,0)),4,5)))),
IF(AND(INDEX(Logical_Operator,MATCH(W$4,PiN_Code,0))="&gt;",INDEX(EndFormula,MATCH(W$4,PiN_Code,0))="Severity 1"),
IF(INDEX(INDIRECT(W$4),MATCH($D7,IN_Admin2,0))&gt;INDEX(Severity_5,MATCH(W$4,PiN_Code,0)),5,
IF(INDEX(INDIRECT(W$4),MATCH($D7,IN_Admin2,0))&gt;INDEX(Severity_4,MATCH(W$4,PiN_Code,0)),4,
IF(INDEX(INDIRECT(W$4),MATCH($D7,IN_Admin2,0))&gt;INDEX(Severity_3,MATCH(W$4,PiN_Code,0)),3,
IF(INDEX(INDIRECT(W$4),MATCH($D7,IN_Admin2,0))&gt;INDEX(Severity_2,MATCH(W$4,PiN_Code,0)),2,1)))),
IF(AND(INDEX(Logical_Operator,MATCH(W$4,PiN_Code,0))="&gt;",INDEX(EndFormula,MATCH(W$4,PiN_Code,0))="Severity 1 &amp; 2"),
IF(INDEX(INDIRECT(W$4),MATCH($D7,IN_Admin2,0))&gt;INDEX(Severity_5,MATCH(W$4,PiN_Code,0)),5,
IF(INDEX(INDIRECT(W$4),MATCH($D7,IN_Admin2,0))&gt;INDEX(Severity_4,MATCH(W$4,PiN_Code,0)),4,
IF(INDEX(INDIRECT(W$4),MATCH($D7,IN_Admin2,0))&gt;INDEX(Severity_3,MATCH(W$4,PiN_Code,0)),3,1))),
IF(AND(INDEX(Logical_Operator,MATCH(W$4,PiN_Code,0))="&gt;",INDEX(EndFormula,MATCH(W$4,PiN_Code,0))="Severity 5, no 2"),
IF(INDEX(INDIRECT(W$4),MATCH($D7,IN_Admin2,0))&gt;INDEX(Severity_1,MATCH(W$4,PiN_Code,0)),1,
IF(INDEX(INDIRECT(W$4),MATCH($D7,IN_Admin2,0))&gt;INDEX(Severity_3,MATCH(W$4,PiN_Code,0)),3,
IF(INDEX(INDIRECT(W$4),MATCH($D7,IN_Admin2,0))&gt;INDEX(Severity_4,MATCH(W$4,PiN_Code,0)),4,5))),
IF(AND(INDEX(Logical_Operator,MATCH(W$4,PiN_Code,0))="&gt;",INDEX(EndFormula,MATCH(W$4,PiN_Code,0))="Severity 5"),
IF(INDEX(INDIRECT(W$4),MATCH($D7,IN_Admin2,0))&gt;INDEX(Severity_1,MATCH(W$4,PiN_Code,0)),1,
IF(INDEX(INDIRECT(W$4),MATCH($D7,IN_Admin2,0))&gt;INDEX(Severity_2,MATCH(W$4,PiN_Code,0)),2,
IF(INDEX(INDIRECT(W$4),MATCH($D7,IN_Admin2,0))&gt;INDEX(Severity_3,MATCH(W$4,PiN_Code,0)),3,
IF(INDEX(INDIRECT(W$4),MATCH($D7,IN_Admin2,0))&gt;INDEX(Severity_4,MATCH(W$4,PiN_Code,0)),4,5)))),
IF(AND(INDEX(Logical_Operator,MATCH(W$4,PiN_Code,0))="=",INDEX(EndFormula,MATCH(W$4,PiN_Code,0))="Severity 1"),
IF(INDEX(INDIRECT(W$4),MATCH($D7,IN_Admin2,0))=INDEX(Severity_5,MATCH(W$4,PiN_Code,0)),5,
IF(INDEX(INDIRECT(W$4),MATCH($D7,IN_Admin2,0))=INDEX(Severity_4,MATCH(W$4,PiN_Code,0)),4,
IF(INDEX(INDIRECT(W$4),MATCH($D7,IN_Admin2,0))=INDEX(Severity_3,MATCH(W$4,PiN_Code,0)),3,
IF(INDEX(INDIRECT(W$4),MATCH($D7,IN_Admin2,0))=INDEX(Severity_2,MATCH(W$4,PiN_Code,0)),2,1)))),
IF(INDEX(Logical_Operator,MATCH(W$4,PiN_Code,0))="=",
INDEX(INDIRECT(W$4),MATCH($D7,IN_Admin2,0)))))))))))))))))))))</f>
        <v>5</v>
      </c>
      <c r="X7" s="77">
        <f t="shared" ref="X7:Z26" ca="1" si="18">IF(INDEX(INDIRECT(X$4),MATCH($D7,IN_Admin2,0))="","",
IF(AND(INDEX(Logical_Operator,MATCH(X$4,PiN_Code,0))="&lt;",INDEX(EndFormula,MATCH(X$4,PiN_Code,0))="Severity 1"),
IF(INDEX(INDIRECT(X$4),MATCH($D7,IN_Admin2,0))&lt;INDEX(Severity_5,MATCH(X$4,PiN_Code,0)),5,
IF(INDEX(INDIRECT(X$4),MATCH($D7,IN_Admin2,0))&lt;INDEX(Severity_4,MATCH(X$4,PiN_Code,0)),4,
IF(INDEX(INDIRECT(X$4),MATCH($D7,IN_Admin2,0))&lt;INDEX(Severity_3,MATCH(X$4,PiN_Code,0)),3,
IF(INDEX(INDIRECT(X$4),MATCH($D7,IN_Admin2,0))&lt;INDEX(Severity_2,MATCH(X$4,PiN_Code,0)),2,1)))),
IF(AND(INDEX(Logical_Operator,MATCH(X$4,PiN_Code,0))="&lt;",INDEX(EndFormula,MATCH(X$4,PiN_Code,0))="Severity 1 &amp; 2"),
IF(INDEX(INDIRECT(X$4),MATCH($D7,IN_Admin2,0))&lt;INDEX(Severity_5,MATCH(X$4,PiN_Code,0)),5,
IF(INDEX(INDIRECT(X$4),MATCH($D7,IN_Admin2,0))&lt;INDEX(Severity_4,MATCH(X$4,PiN_Code,0)),4,
IF(INDEX(INDIRECT(X$4),MATCH($D7,IN_Admin2,0))&lt;INDEX(Severity_3,MATCH(X$4,PiN_Code,0)),3,1))),
IF(AND(INDEX(Logical_Operator,MATCH(X$4,PiN_Code,0))="&lt;",INDEX(EndFormula,MATCH(X$4,PiN_Code,0))="Severity 5, no 2"),
IF(INDEX(INDIRECT(X$4),MATCH($D7,IN_Admin2,0))&lt;INDEX(Severity_1,MATCH(X$4,PiN_Code,0)),1,
IF(INDEX(INDIRECT(X$4),MATCH($D7,IN_Admin2,0))&lt;INDEX(Severity_3,MATCH(X$4,PiN_Code,0)),3,
IF(INDEX(INDIRECT(X$4),MATCH($D7,IN_Admin2,0))&lt;INDEX(Severity_4,MATCH(X$4,PiN_Code,0)),4,5))),
IF(AND(INDEX(Logical_Operator,MATCH(X$4,PiN_Code,0))="&lt;",INDEX(EndFormula,MATCH(X$4,PiN_Code,0))="Severity 5"),
IF(INDEX(INDIRECT(X$4),MATCH($D7,IN_Admin2,0))&lt;INDEX(Severity_1,MATCH(X$4,PiN_Code,0)),1,
IF(INDEX(INDIRECT(X$4),MATCH($D7,IN_Admin2,0))&lt;INDEX(Severity_2,MATCH(X$4,PiN_Code,0)),2,
IF(INDEX(INDIRECT(X$4),MATCH($D7,IN_Admin2,0))&lt;INDEX(Severity_3,MATCH(X$4,PiN_Code,0)),3,
IF(INDEX(INDIRECT(X$4),MATCH($D7,IN_Admin2,0))&lt;INDEX(Severity_4,MATCH(X$4,PiN_Code,0)),4,5)))),
IF(AND(INDEX(Logical_Operator,MATCH(X$4,PiN_Code,0))="&lt;=",INDEX(EndFormula,MATCH(X$4,PiN_Code,0))="Severity 1"),
IF(INDEX(INDIRECT(X$4),MATCH($D7,IN_Admin2,0))&lt;=INDEX(Severity_5,MATCH(X$4,PiN_Code,0)),5,
IF(INDEX(INDIRECT(X$4),MATCH($D7,IN_Admin2,0))&lt;=INDEX(Severity_4,MATCH(X$4,PiN_Code,0)),4,
IF(INDEX(INDIRECT(X$4),MATCH($D7,IN_Admin2,0))&lt;=INDEX(Severity_3,MATCH(X$4,PiN_Code,0)),3,
IF(INDEX(INDIRECT(X$4),MATCH($D7,IN_Admin2,0))&lt;=INDEX(Severity_2,MATCH(X$4,PiN_Code,0)),2,1)))),
IF(AND(INDEX(Logical_Operator,MATCH(X$4,PiN_Code,0))="&lt;=",INDEX(EndFormula,MATCH(X$4,PiN_Code,0))="Severity 1 &amp; 2"),
IF(INDEX(INDIRECT(X$4),MATCH($D7,IN_Admin2,0))&lt;=INDEX(Severity_5,MATCH(X$4,PiN_Code,0)),5,
IF(INDEX(INDIRECT(X$4),MATCH($D7,IN_Admin2,0))&lt;=INDEX(Severity_4,MATCH(X$4,PiN_Code,0)),4,
IF(INDEX(INDIRECT(X$4),MATCH($D7,IN_Admin2,0))&lt;=INDEX(Severity_3,MATCH(X$4,PiN_Code,0)),3,1))),
IF(AND(INDEX(Logical_Operator,MATCH(X$4,PiN_Code,0))="&lt;=",INDEX(EndFormula,MATCH(X$4,PiN_Code,0))="Severity 5, no 2"),
IF(INDEX(INDIRECT(X$4),MATCH($D7,IN_Admin2,0))&lt;=INDEX(Severity_1,MATCH(X$4,PiN_Code,0)),1,
IF(INDEX(INDIRECT(X$4),MATCH($D7,IN_Admin2,0))&lt;=INDEX(Severity_3,MATCH(X$4,PiN_Code,0)),3,
IF(INDEX(INDIRECT(X$4),MATCH($D7,IN_Admin2,0))&lt;=INDEX(Severity_4,MATCH(X$4,PiN_Code,0)),4,5))),
IF(AND(INDEX(Logical_Operator,MATCH(X$4,PiN_Code,0))="&lt;=",INDEX(EndFormula,MATCH(X$4,PiN_Code,0))="Severity 5"),
IF(INDEX(INDIRECT(X$4),MATCH($D7,IN_Admin2,0))&lt;=INDEX(Severity_1,MATCH(X$4,PiN_Code,0)),1,
IF(INDEX(INDIRECT(X$4),MATCH($D7,IN_Admin2,0))&lt;=INDEX(Severity_2,MATCH(X$4,PiN_Code,0)),2,
IF(INDEX(INDIRECT(X$4),MATCH($D7,IN_Admin2,0))&lt;=INDEX(Severity_3,MATCH(X$4,PiN_Code,0)),3,
IF(INDEX(INDIRECT(X$4),MATCH($D7,IN_Admin2,0))&lt;=INDEX(Severity_4,MATCH(X$4,PiN_Code,0)),4,5)))),
IF(AND(INDEX(Logical_Operator,MATCH(X$4,PiN_Code,0))="&gt;=",INDEX(EndFormula,MATCH(X$4,PiN_Code,0))="Severity 1"),
IF(INDEX(INDIRECT(X$4),MATCH($D7,IN_Admin2,0))&gt;=INDEX(Severity_5,MATCH(X$4,PiN_Code,0)),5,
IF(INDEX(INDIRECT(X$4),MATCH($D7,IN_Admin2,0))&gt;=INDEX(Severity_4,MATCH(X$4,PiN_Code,0)),4,
IF(INDEX(INDIRECT(X$4),MATCH($D7,IN_Admin2,0))&gt;=INDEX(Severity_3,MATCH(X$4,PiN_Code,0)),3,
IF(INDEX(INDIRECT(X$4),MATCH($D7,IN_Admin2,0))&gt;=INDEX(Severity_2,MATCH(X$4,PiN_Code,0)),2,1)))),
IF(AND(INDEX(Logical_Operator,MATCH(X$4,PiN_Code,0))="&gt;=",INDEX(EndFormula,MATCH(X$4,PiN_Code,0))="Severity 1 &amp; 2"),
IF(INDEX(INDIRECT(X$4),MATCH($D7,IN_Admin2,0))&gt;=INDEX(Severity_5,MATCH(X$4,PiN_Code,0)),5,
IF(INDEX(INDIRECT(X$4),MATCH($D7,IN_Admin2,0))&gt;=INDEX(Severity_4,MATCH(X$4,PiN_Code,0)),4,
IF(INDEX(INDIRECT(X$4),MATCH($D7,IN_Admin2,0))&gt;=INDEX(Severity_3,MATCH(X$4,PiN_Code,0)),3,1))),
IF(AND(INDEX(Logical_Operator,MATCH(X$4,PiN_Code,0))="&gt;=",INDEX(EndFormula,MATCH(X$4,PiN_Code,0))="Severity 5, no 2"),
IF(INDEX(INDIRECT(X$4),MATCH($D7,IN_Admin2,0))&gt;=INDEX(Severity_1,MATCH(X$4,PiN_Code,0)),1,
IF(INDEX(INDIRECT(X$4),MATCH($D7,IN_Admin2,0))&gt;=INDEX(Severity_3,MATCH(X$4,PiN_Code,0)),3,
IF(INDEX(INDIRECT(X$4),MATCH($D7,IN_Admin2,0))&gt;=INDEX(Severity_4,MATCH(X$4,PiN_Code,0)),4,5))),
IF(AND(INDEX(Logical_Operator,MATCH(X$4,PiN_Code,0))="&gt;=",INDEX(EndFormula,MATCH(X$4,PiN_Code,0))="Severity 5"),
IF(INDEX(INDIRECT(X$4),MATCH($D7,IN_Admin2,0))&gt;=INDEX(Severity_1,MATCH(X$4,PiN_Code,0)),1,
IF(INDEX(INDIRECT(X$4),MATCH($D7,IN_Admin2,0))&gt;=INDEX(Severity_2,MATCH(X$4,PiN_Code,0)),2,
IF(INDEX(INDIRECT(X$4),MATCH($D7,IN_Admin2,0))&gt;=INDEX(Severity_3,MATCH(X$4,PiN_Code,0)),3,
IF(INDEX(INDIRECT(X$4),MATCH($D7,IN_Admin2,0))&gt;=INDEX(Severity_4,MATCH(X$4,PiN_Code,0)),4,5)))),
IF(AND(INDEX(Logical_Operator,MATCH(X$4,PiN_Code,0))="&gt;",INDEX(EndFormula,MATCH(X$4,PiN_Code,0))="Severity 1"),
IF(INDEX(INDIRECT(X$4),MATCH($D7,IN_Admin2,0))&gt;INDEX(Severity_5,MATCH(X$4,PiN_Code,0)),5,
IF(INDEX(INDIRECT(X$4),MATCH($D7,IN_Admin2,0))&gt;INDEX(Severity_4,MATCH(X$4,PiN_Code,0)),4,
IF(INDEX(INDIRECT(X$4),MATCH($D7,IN_Admin2,0))&gt;INDEX(Severity_3,MATCH(X$4,PiN_Code,0)),3,
IF(INDEX(INDIRECT(X$4),MATCH($D7,IN_Admin2,0))&gt;INDEX(Severity_2,MATCH(X$4,PiN_Code,0)),2,1)))),
IF(AND(INDEX(Logical_Operator,MATCH(X$4,PiN_Code,0))="&gt;",INDEX(EndFormula,MATCH(X$4,PiN_Code,0))="Severity 1 &amp; 2"),
IF(INDEX(INDIRECT(X$4),MATCH($D7,IN_Admin2,0))&gt;INDEX(Severity_5,MATCH(X$4,PiN_Code,0)),5,
IF(INDEX(INDIRECT(X$4),MATCH($D7,IN_Admin2,0))&gt;INDEX(Severity_4,MATCH(X$4,PiN_Code,0)),4,
IF(INDEX(INDIRECT(X$4),MATCH($D7,IN_Admin2,0))&gt;INDEX(Severity_3,MATCH(X$4,PiN_Code,0)),3,1))),
IF(AND(INDEX(Logical_Operator,MATCH(X$4,PiN_Code,0))="&gt;",INDEX(EndFormula,MATCH(X$4,PiN_Code,0))="Severity 5, no 2"),
IF(INDEX(INDIRECT(X$4),MATCH($D7,IN_Admin2,0))&gt;INDEX(Severity_1,MATCH(X$4,PiN_Code,0)),1,
IF(INDEX(INDIRECT(X$4),MATCH($D7,IN_Admin2,0))&gt;INDEX(Severity_3,MATCH(X$4,PiN_Code,0)),3,
IF(INDEX(INDIRECT(X$4),MATCH($D7,IN_Admin2,0))&gt;INDEX(Severity_4,MATCH(X$4,PiN_Code,0)),4,5))),
IF(AND(INDEX(Logical_Operator,MATCH(X$4,PiN_Code,0))="&gt;",INDEX(EndFormula,MATCH(X$4,PiN_Code,0))="Severity 5"),
IF(INDEX(INDIRECT(X$4),MATCH($D7,IN_Admin2,0))&gt;INDEX(Severity_1,MATCH(X$4,PiN_Code,0)),1,
IF(INDEX(INDIRECT(X$4),MATCH($D7,IN_Admin2,0))&gt;INDEX(Severity_2,MATCH(X$4,PiN_Code,0)),2,
IF(INDEX(INDIRECT(X$4),MATCH($D7,IN_Admin2,0))&gt;INDEX(Severity_3,MATCH(X$4,PiN_Code,0)),3,
IF(INDEX(INDIRECT(X$4),MATCH($D7,IN_Admin2,0))&gt;INDEX(Severity_4,MATCH(X$4,PiN_Code,0)),4,5)))),
IF(AND(INDEX(Logical_Operator,MATCH(X$4,PiN_Code,0))="=",INDEX(EndFormula,MATCH(X$4,PiN_Code,0))="Severity 1"),
IF(INDEX(INDIRECT(X$4),MATCH($D7,IN_Admin2,0))=INDEX(Severity_5,MATCH(X$4,PiN_Code,0)),5,
IF(INDEX(INDIRECT(X$4),MATCH($D7,IN_Admin2,0))=INDEX(Severity_4,MATCH(X$4,PiN_Code,0)),4,
IF(INDEX(INDIRECT(X$4),MATCH($D7,IN_Admin2,0))=INDEX(Severity_3,MATCH(X$4,PiN_Code,0)),3,
IF(INDEX(INDIRECT(X$4),MATCH($D7,IN_Admin2,0))=INDEX(Severity_2,MATCH(X$4,PiN_Code,0)),2,1)))),
IF(INDEX(Logical_Operator,MATCH(X$4,PiN_Code,0))="=",
INDEX(INDIRECT(X$4),MATCH($D7,IN_Admin2,0)))))))))))))))))))))</f>
        <v>1</v>
      </c>
      <c r="Y7" s="77">
        <f t="shared" ca="1" si="18"/>
        <v>1</v>
      </c>
      <c r="Z7" s="77">
        <f t="shared" ca="1" si="18"/>
        <v>1</v>
      </c>
      <c r="AA7" s="41"/>
      <c r="AB7" s="77">
        <f t="shared" ca="1" si="14"/>
        <v>1</v>
      </c>
      <c r="AC7" s="77">
        <f t="shared" ca="1" si="14"/>
        <v>5</v>
      </c>
      <c r="AD7" s="77">
        <f t="shared" ca="1" si="14"/>
        <v>5</v>
      </c>
      <c r="AE7" s="77">
        <f t="shared" ca="1" si="14"/>
        <v>1</v>
      </c>
      <c r="AF7" s="77">
        <f t="shared" ca="1" si="14"/>
        <v>5</v>
      </c>
      <c r="AG7" s="77" t="str">
        <f t="shared" ca="1" si="14"/>
        <v/>
      </c>
      <c r="AH7" s="77" t="str">
        <f t="shared" ca="1" si="14"/>
        <v/>
      </c>
      <c r="AI7" s="77" t="str">
        <f t="shared" ca="1" si="14"/>
        <v/>
      </c>
      <c r="AJ7" s="41"/>
      <c r="AK7" s="77">
        <f t="shared" ca="1" si="15"/>
        <v>3</v>
      </c>
      <c r="AL7" s="77">
        <f t="shared" ca="1" si="15"/>
        <v>3</v>
      </c>
      <c r="AM7" s="80"/>
      <c r="AN7" s="77">
        <f t="shared" ca="1" si="16"/>
        <v>4</v>
      </c>
    </row>
    <row r="8" spans="3:40" x14ac:dyDescent="0.4">
      <c r="C8" s="17" t="str">
        <f>Indicator_Input!$B6</f>
        <v>Arnor</v>
      </c>
      <c r="D8" s="17" t="str">
        <f>Indicator_Input!$C6</f>
        <v>Rhudaur</v>
      </c>
      <c r="E8" s="76">
        <f t="shared" ca="1" si="11"/>
        <v>0</v>
      </c>
      <c r="F8" s="76">
        <f t="shared" ca="1" si="11"/>
        <v>0</v>
      </c>
      <c r="G8" s="76">
        <f t="shared" ca="1" si="11"/>
        <v>0</v>
      </c>
      <c r="H8" s="76">
        <f t="shared" ca="1" si="11"/>
        <v>1121.3500000000001</v>
      </c>
      <c r="I8" s="76">
        <f t="shared" ca="1" si="11"/>
        <v>2735</v>
      </c>
      <c r="J8" s="76">
        <f t="shared" ca="1" si="11"/>
        <v>0</v>
      </c>
      <c r="K8" s="76">
        <f t="shared" ca="1" si="11"/>
        <v>0</v>
      </c>
      <c r="L8" s="76">
        <f t="shared" ca="1" si="11"/>
        <v>1695.7000000000003</v>
      </c>
      <c r="M8" s="41"/>
      <c r="N8" s="76">
        <f t="shared" ca="1" si="12"/>
        <v>519.65</v>
      </c>
      <c r="O8" s="76">
        <f t="shared" ca="1" si="12"/>
        <v>82.050000000000068</v>
      </c>
      <c r="P8" s="76">
        <f t="shared" ca="1" si="12"/>
        <v>1312.8</v>
      </c>
      <c r="Q8" s="76">
        <f t="shared" ca="1" si="12"/>
        <v>1558.9500000000003</v>
      </c>
      <c r="R8" s="76">
        <f t="shared" ca="1" si="12"/>
        <v>0</v>
      </c>
      <c r="S8" s="41"/>
      <c r="T8" s="76">
        <f t="shared" ca="1" si="13"/>
        <v>806</v>
      </c>
      <c r="U8" s="76">
        <f t="shared" ca="1" si="12"/>
        <v>311</v>
      </c>
      <c r="V8" s="40"/>
      <c r="W8" s="77">
        <f t="shared" ca="1" si="17"/>
        <v>4</v>
      </c>
      <c r="X8" s="77">
        <f t="shared" ca="1" si="18"/>
        <v>1</v>
      </c>
      <c r="Y8" s="77">
        <f t="shared" ca="1" si="18"/>
        <v>5</v>
      </c>
      <c r="Z8" s="77">
        <f t="shared" ca="1" si="18"/>
        <v>1</v>
      </c>
      <c r="AA8" s="41"/>
      <c r="AB8" s="77">
        <f t="shared" ca="1" si="14"/>
        <v>1</v>
      </c>
      <c r="AC8" s="77">
        <f t="shared" ca="1" si="14"/>
        <v>5</v>
      </c>
      <c r="AD8" s="77">
        <f t="shared" ca="1" si="14"/>
        <v>5</v>
      </c>
      <c r="AE8" s="77">
        <f t="shared" ca="1" si="14"/>
        <v>5</v>
      </c>
      <c r="AF8" s="77">
        <f t="shared" ca="1" si="14"/>
        <v>1</v>
      </c>
      <c r="AG8" s="77" t="str">
        <f t="shared" ca="1" si="14"/>
        <v/>
      </c>
      <c r="AH8" s="77" t="str">
        <f t="shared" ca="1" si="14"/>
        <v/>
      </c>
      <c r="AI8" s="77" t="str">
        <f t="shared" ca="1" si="14"/>
        <v/>
      </c>
      <c r="AJ8" s="41"/>
      <c r="AK8" s="77">
        <f t="shared" ca="1" si="15"/>
        <v>3</v>
      </c>
      <c r="AL8" s="77">
        <f t="shared" ca="1" si="15"/>
        <v>3</v>
      </c>
      <c r="AM8" s="80"/>
      <c r="AN8" s="77">
        <f t="shared" ca="1" si="16"/>
        <v>1</v>
      </c>
    </row>
    <row r="9" spans="3:40" x14ac:dyDescent="0.4">
      <c r="C9" s="17" t="str">
        <f>Indicator_Input!$B7</f>
        <v>Beleriand</v>
      </c>
      <c r="D9" s="17" t="str">
        <f>Indicator_Input!$C7</f>
        <v>East Beleriand</v>
      </c>
      <c r="E9" s="76">
        <f t="shared" ca="1" si="11"/>
        <v>0</v>
      </c>
      <c r="F9" s="76">
        <f t="shared" ca="1" si="11"/>
        <v>0</v>
      </c>
      <c r="G9" s="76">
        <f t="shared" ca="1" si="11"/>
        <v>0</v>
      </c>
      <c r="H9" s="76">
        <f t="shared" ca="1" si="11"/>
        <v>1926.18</v>
      </c>
      <c r="I9" s="76">
        <f t="shared" ca="1" si="11"/>
        <v>0</v>
      </c>
      <c r="J9" s="76">
        <f t="shared" ca="1" si="11"/>
        <v>4698</v>
      </c>
      <c r="K9" s="76">
        <f t="shared" ca="1" si="11"/>
        <v>0</v>
      </c>
      <c r="L9" s="76">
        <f t="shared" ca="1" si="11"/>
        <v>422.82000000000039</v>
      </c>
      <c r="M9" s="41"/>
      <c r="N9" s="76">
        <f t="shared" ca="1" si="12"/>
        <v>1362.4199999999998</v>
      </c>
      <c r="O9" s="76">
        <f t="shared" ca="1" si="12"/>
        <v>2255.04</v>
      </c>
      <c r="P9" s="76">
        <f t="shared" ca="1" si="12"/>
        <v>2348.9999999999995</v>
      </c>
      <c r="Q9" s="76">
        <f t="shared" ca="1" si="12"/>
        <v>0</v>
      </c>
      <c r="R9" s="76">
        <f t="shared" ca="1" si="12"/>
        <v>281.88000000000022</v>
      </c>
      <c r="S9" s="41"/>
      <c r="T9" s="76">
        <f t="shared" ca="1" si="13"/>
        <v>3305</v>
      </c>
      <c r="U9" s="76">
        <f t="shared" ca="1" si="12"/>
        <v>193</v>
      </c>
      <c r="V9" s="40"/>
      <c r="W9" s="77">
        <f t="shared" ca="1" si="17"/>
        <v>1</v>
      </c>
      <c r="X9" s="77">
        <f t="shared" ca="1" si="18"/>
        <v>1</v>
      </c>
      <c r="Y9" s="77">
        <f t="shared" ca="1" si="18"/>
        <v>1</v>
      </c>
      <c r="Z9" s="77">
        <f t="shared" ca="1" si="18"/>
        <v>1</v>
      </c>
      <c r="AA9" s="41"/>
      <c r="AB9" s="77">
        <f t="shared" ca="1" si="14"/>
        <v>1</v>
      </c>
      <c r="AC9" s="77">
        <f t="shared" ca="1" si="14"/>
        <v>5</v>
      </c>
      <c r="AD9" s="77">
        <f t="shared" ca="1" si="14"/>
        <v>5</v>
      </c>
      <c r="AE9" s="77">
        <f t="shared" ca="1" si="14"/>
        <v>1</v>
      </c>
      <c r="AF9" s="77">
        <f t="shared" ca="1" si="14"/>
        <v>4</v>
      </c>
      <c r="AG9" s="77" t="str">
        <f t="shared" ca="1" si="14"/>
        <v/>
      </c>
      <c r="AH9" s="77" t="str">
        <f t="shared" ca="1" si="14"/>
        <v/>
      </c>
      <c r="AI9" s="77" t="str">
        <f t="shared" ca="1" si="14"/>
        <v/>
      </c>
      <c r="AJ9" s="41"/>
      <c r="AK9" s="77">
        <f t="shared" ca="1" si="15"/>
        <v>3</v>
      </c>
      <c r="AL9" s="77">
        <f t="shared" ca="1" si="15"/>
        <v>2</v>
      </c>
      <c r="AM9" s="80"/>
      <c r="AN9" s="77">
        <f t="shared" ca="1" si="16"/>
        <v>4</v>
      </c>
    </row>
    <row r="10" spans="3:40" x14ac:dyDescent="0.4">
      <c r="C10" s="17" t="str">
        <f>Indicator_Input!$B8</f>
        <v>Beleriand</v>
      </c>
      <c r="D10" s="17" t="str">
        <f>Indicator_Input!$C8</f>
        <v>West Beleriand</v>
      </c>
      <c r="E10" s="76">
        <f t="shared" ca="1" si="11"/>
        <v>0</v>
      </c>
      <c r="F10" s="76">
        <f t="shared" ca="1" si="11"/>
        <v>14616.333333333332</v>
      </c>
      <c r="G10" s="76">
        <f t="shared" ca="1" si="11"/>
        <v>0</v>
      </c>
      <c r="H10" s="76">
        <f t="shared" ca="1" si="11"/>
        <v>0</v>
      </c>
      <c r="I10" s="76">
        <f t="shared" ca="1" si="11"/>
        <v>0</v>
      </c>
      <c r="J10" s="76">
        <f t="shared" ca="1" si="11"/>
        <v>0</v>
      </c>
      <c r="K10" s="76">
        <f t="shared" ca="1" si="11"/>
        <v>0</v>
      </c>
      <c r="L10" s="76">
        <f t="shared" ca="1" si="11"/>
        <v>3128.3000000000029</v>
      </c>
      <c r="M10" s="41"/>
      <c r="N10" s="76">
        <f t="shared" ca="1" si="12"/>
        <v>4066.79</v>
      </c>
      <c r="O10" s="76">
        <f t="shared" ca="1" si="12"/>
        <v>5630.9400000000014</v>
      </c>
      <c r="P10" s="76">
        <f t="shared" ca="1" si="12"/>
        <v>17518.48</v>
      </c>
      <c r="Q10" s="76">
        <f t="shared" ca="1" si="12"/>
        <v>3441.1299999999997</v>
      </c>
      <c r="R10" s="76">
        <f t="shared" ca="1" si="12"/>
        <v>22836.59</v>
      </c>
      <c r="S10" s="41"/>
      <c r="T10" s="76">
        <f t="shared" ca="1" si="13"/>
        <v>21043</v>
      </c>
      <c r="U10" s="76">
        <f t="shared" ca="1" si="12"/>
        <v>323</v>
      </c>
      <c r="V10" s="40"/>
      <c r="W10" s="77">
        <f t="shared" ca="1" si="17"/>
        <v>5</v>
      </c>
      <c r="X10" s="77">
        <f t="shared" ca="1" si="18"/>
        <v>4</v>
      </c>
      <c r="Y10" s="77">
        <f t="shared" ca="1" si="18"/>
        <v>1</v>
      </c>
      <c r="Z10" s="77">
        <f t="shared" ca="1" si="18"/>
        <v>1</v>
      </c>
      <c r="AA10" s="41"/>
      <c r="AB10" s="77">
        <f t="shared" ca="1" si="14"/>
        <v>1</v>
      </c>
      <c r="AC10" s="77">
        <f t="shared" ca="1" si="14"/>
        <v>5</v>
      </c>
      <c r="AD10" s="77">
        <f t="shared" ca="1" si="14"/>
        <v>5</v>
      </c>
      <c r="AE10" s="77">
        <f t="shared" ca="1" si="14"/>
        <v>5</v>
      </c>
      <c r="AF10" s="77">
        <f t="shared" ca="1" si="14"/>
        <v>5</v>
      </c>
      <c r="AG10" s="77" t="str">
        <f t="shared" ca="1" si="14"/>
        <v/>
      </c>
      <c r="AH10" s="77" t="str">
        <f t="shared" ca="1" si="14"/>
        <v/>
      </c>
      <c r="AI10" s="77" t="str">
        <f t="shared" ca="1" si="14"/>
        <v/>
      </c>
      <c r="AJ10" s="41"/>
      <c r="AK10" s="77">
        <f t="shared" ca="1" si="15"/>
        <v>1</v>
      </c>
      <c r="AL10" s="77">
        <f t="shared" ca="1" si="15"/>
        <v>1</v>
      </c>
      <c r="AM10" s="80"/>
      <c r="AN10" s="77">
        <f t="shared" ca="1" si="16"/>
        <v>2</v>
      </c>
    </row>
    <row r="11" spans="3:40" x14ac:dyDescent="0.4">
      <c r="C11" s="17" t="str">
        <f>Indicator_Input!$B9</f>
        <v>Endedwaith</v>
      </c>
      <c r="D11" s="17" t="str">
        <f>Indicator_Input!$C9</f>
        <v>Dunland</v>
      </c>
      <c r="E11" s="76">
        <f t="shared" ca="1" si="11"/>
        <v>0</v>
      </c>
      <c r="F11" s="76">
        <f t="shared" ca="1" si="11"/>
        <v>0</v>
      </c>
      <c r="G11" s="76">
        <f t="shared" ca="1" si="11"/>
        <v>0</v>
      </c>
      <c r="H11" s="76">
        <f t="shared" ca="1" si="11"/>
        <v>11369.820000000002</v>
      </c>
      <c r="I11" s="76">
        <f t="shared" ca="1" si="11"/>
        <v>27071</v>
      </c>
      <c r="J11" s="76">
        <f t="shared" ca="1" si="11"/>
        <v>0</v>
      </c>
      <c r="K11" s="76">
        <f t="shared" ca="1" si="11"/>
        <v>0</v>
      </c>
      <c r="L11" s="76">
        <f t="shared" ca="1" si="11"/>
        <v>10286.980000000001</v>
      </c>
      <c r="M11" s="41"/>
      <c r="N11" s="76">
        <f t="shared" ca="1" si="12"/>
        <v>4060.6499999999996</v>
      </c>
      <c r="O11" s="76">
        <f t="shared" ca="1" si="12"/>
        <v>5684.9100000000017</v>
      </c>
      <c r="P11" s="76">
        <f t="shared" ca="1" si="12"/>
        <v>22198.219999999998</v>
      </c>
      <c r="Q11" s="76">
        <f t="shared" ca="1" si="12"/>
        <v>12452.66</v>
      </c>
      <c r="R11" s="76">
        <f t="shared" ca="1" si="12"/>
        <v>3248.52</v>
      </c>
      <c r="S11" s="41"/>
      <c r="T11" s="76">
        <f t="shared" ca="1" si="13"/>
        <v>8486</v>
      </c>
      <c r="U11" s="76">
        <f t="shared" ca="1" si="12"/>
        <v>428</v>
      </c>
      <c r="V11" s="40"/>
      <c r="W11" s="77">
        <f t="shared" ca="1" si="17"/>
        <v>4</v>
      </c>
      <c r="X11" s="77">
        <f t="shared" ca="1" si="18"/>
        <v>1</v>
      </c>
      <c r="Y11" s="77">
        <f t="shared" ca="1" si="18"/>
        <v>5</v>
      </c>
      <c r="Z11" s="77">
        <f t="shared" ca="1" si="18"/>
        <v>1</v>
      </c>
      <c r="AA11" s="41"/>
      <c r="AB11" s="77">
        <f t="shared" ca="1" si="14"/>
        <v>1</v>
      </c>
      <c r="AC11" s="77">
        <f t="shared" ca="1" si="14"/>
        <v>5</v>
      </c>
      <c r="AD11" s="77">
        <f t="shared" ca="1" si="14"/>
        <v>5</v>
      </c>
      <c r="AE11" s="77">
        <f t="shared" ca="1" si="14"/>
        <v>5</v>
      </c>
      <c r="AF11" s="77">
        <f t="shared" ca="1" si="14"/>
        <v>5</v>
      </c>
      <c r="AG11" s="77" t="str">
        <f t="shared" ca="1" si="14"/>
        <v/>
      </c>
      <c r="AH11" s="77" t="str">
        <f t="shared" ca="1" si="14"/>
        <v/>
      </c>
      <c r="AI11" s="77" t="str">
        <f t="shared" ca="1" si="14"/>
        <v/>
      </c>
      <c r="AJ11" s="41"/>
      <c r="AK11" s="77">
        <f t="shared" ca="1" si="15"/>
        <v>1</v>
      </c>
      <c r="AL11" s="77">
        <f t="shared" ca="1" si="15"/>
        <v>3</v>
      </c>
      <c r="AM11" s="80"/>
      <c r="AN11" s="77">
        <f t="shared" ca="1" si="16"/>
        <v>1</v>
      </c>
    </row>
    <row r="12" spans="3:40" x14ac:dyDescent="0.4">
      <c r="C12" s="17" t="str">
        <f>Indicator_Input!$B10</f>
        <v>Eriador</v>
      </c>
      <c r="D12" s="17" t="str">
        <f>Indicator_Input!$C10</f>
        <v>Angmar</v>
      </c>
      <c r="E12" s="76">
        <f t="shared" ca="1" si="11"/>
        <v>0</v>
      </c>
      <c r="F12" s="76">
        <f t="shared" ca="1" si="11"/>
        <v>31976.777777777777</v>
      </c>
      <c r="G12" s="76">
        <f t="shared" ca="1" si="11"/>
        <v>0</v>
      </c>
      <c r="H12" s="76">
        <f t="shared" ca="1" si="11"/>
        <v>4861.890000000004</v>
      </c>
      <c r="I12" s="76">
        <f t="shared" ca="1" si="11"/>
        <v>0</v>
      </c>
      <c r="J12" s="76">
        <f t="shared" ca="1" si="11"/>
        <v>0</v>
      </c>
      <c r="K12" s="76">
        <f t="shared" ca="1" si="11"/>
        <v>11590.304347826088</v>
      </c>
      <c r="L12" s="76">
        <f t="shared" ca="1" si="11"/>
        <v>4419.9000000000042</v>
      </c>
      <c r="M12" s="41"/>
      <c r="N12" s="76">
        <f t="shared" ca="1" si="12"/>
        <v>10165.77</v>
      </c>
      <c r="O12" s="76">
        <f t="shared" ca="1" si="12"/>
        <v>3977.9099999999985</v>
      </c>
      <c r="P12" s="76">
        <f t="shared" ca="1" si="12"/>
        <v>15469.65</v>
      </c>
      <c r="Q12" s="76">
        <f t="shared" ca="1" si="12"/>
        <v>32707.26</v>
      </c>
      <c r="R12" s="76">
        <f t="shared" ca="1" si="12"/>
        <v>14585.670000000004</v>
      </c>
      <c r="S12" s="41"/>
      <c r="T12" s="76">
        <f t="shared" ca="1" si="13"/>
        <v>7021</v>
      </c>
      <c r="U12" s="76">
        <f t="shared" ca="1" si="12"/>
        <v>3348</v>
      </c>
      <c r="V12" s="40"/>
      <c r="W12" s="77">
        <f t="shared" ca="1" si="17"/>
        <v>5</v>
      </c>
      <c r="X12" s="77">
        <f t="shared" ca="1" si="18"/>
        <v>5</v>
      </c>
      <c r="Y12" s="77">
        <f t="shared" ca="1" si="18"/>
        <v>1</v>
      </c>
      <c r="Z12" s="77">
        <f t="shared" ca="1" si="18"/>
        <v>4</v>
      </c>
      <c r="AA12" s="41"/>
      <c r="AB12" s="77">
        <f t="shared" ca="1" si="14"/>
        <v>1</v>
      </c>
      <c r="AC12" s="77">
        <f t="shared" ca="1" si="14"/>
        <v>5</v>
      </c>
      <c r="AD12" s="77">
        <f t="shared" ca="1" si="14"/>
        <v>5</v>
      </c>
      <c r="AE12" s="77">
        <f t="shared" ca="1" si="14"/>
        <v>5</v>
      </c>
      <c r="AF12" s="77">
        <f t="shared" ca="1" si="14"/>
        <v>5</v>
      </c>
      <c r="AG12" s="77" t="str">
        <f t="shared" ca="1" si="14"/>
        <v/>
      </c>
      <c r="AH12" s="77" t="str">
        <f t="shared" ca="1" si="14"/>
        <v/>
      </c>
      <c r="AI12" s="77" t="str">
        <f t="shared" ca="1" si="14"/>
        <v/>
      </c>
      <c r="AJ12" s="41"/>
      <c r="AK12" s="77">
        <f t="shared" ca="1" si="15"/>
        <v>1</v>
      </c>
      <c r="AL12" s="77">
        <f t="shared" ca="1" si="15"/>
        <v>2</v>
      </c>
      <c r="AM12" s="80"/>
      <c r="AN12" s="77">
        <f t="shared" ca="1" si="16"/>
        <v>3</v>
      </c>
    </row>
    <row r="13" spans="3:40" x14ac:dyDescent="0.4">
      <c r="C13" s="17" t="str">
        <f>Indicator_Input!$B11</f>
        <v>Eriador</v>
      </c>
      <c r="D13" s="17" t="str">
        <f>Indicator_Input!$C11</f>
        <v>Arnor</v>
      </c>
      <c r="E13" s="76">
        <f t="shared" ca="1" si="11"/>
        <v>0</v>
      </c>
      <c r="F13" s="76">
        <f t="shared" ca="1" si="11"/>
        <v>0</v>
      </c>
      <c r="G13" s="76">
        <f t="shared" ca="1" si="11"/>
        <v>0</v>
      </c>
      <c r="H13" s="76">
        <f t="shared" ca="1" si="11"/>
        <v>2453.2200000000003</v>
      </c>
      <c r="I13" s="76">
        <f t="shared" ca="1" si="11"/>
        <v>0</v>
      </c>
      <c r="J13" s="76">
        <f t="shared" ca="1" si="11"/>
        <v>0</v>
      </c>
      <c r="K13" s="76">
        <f t="shared" ca="1" si="11"/>
        <v>0</v>
      </c>
      <c r="L13" s="76">
        <f t="shared" ca="1" si="11"/>
        <v>4322.34</v>
      </c>
      <c r="M13" s="41"/>
      <c r="N13" s="76">
        <f t="shared" ca="1" si="12"/>
        <v>1635.4800000000002</v>
      </c>
      <c r="O13" s="76">
        <f t="shared" ca="1" si="12"/>
        <v>2453.2200000000003</v>
      </c>
      <c r="P13" s="76">
        <f t="shared" ca="1" si="12"/>
        <v>5198.49</v>
      </c>
      <c r="Q13" s="76">
        <f t="shared" ca="1" si="12"/>
        <v>817.74000000000012</v>
      </c>
      <c r="R13" s="76">
        <f t="shared" ca="1" si="12"/>
        <v>3504.6000000000004</v>
      </c>
      <c r="S13" s="41"/>
      <c r="T13" s="76">
        <f t="shared" ca="1" si="13"/>
        <v>1777</v>
      </c>
      <c r="U13" s="76">
        <f t="shared" ca="1" si="12"/>
        <v>359</v>
      </c>
      <c r="V13" s="40"/>
      <c r="W13" s="77">
        <f t="shared" ca="1" si="17"/>
        <v>5</v>
      </c>
      <c r="X13" s="77">
        <f t="shared" ca="1" si="18"/>
        <v>1</v>
      </c>
      <c r="Y13" s="77">
        <f t="shared" ca="1" si="18"/>
        <v>1</v>
      </c>
      <c r="Z13" s="77">
        <f t="shared" ca="1" si="18"/>
        <v>1</v>
      </c>
      <c r="AA13" s="41"/>
      <c r="AB13" s="77">
        <f t="shared" ca="1" si="14"/>
        <v>1</v>
      </c>
      <c r="AC13" s="77">
        <f t="shared" ca="1" si="14"/>
        <v>5</v>
      </c>
      <c r="AD13" s="77">
        <f t="shared" ca="1" si="14"/>
        <v>5</v>
      </c>
      <c r="AE13" s="77">
        <f t="shared" ca="1" si="14"/>
        <v>5</v>
      </c>
      <c r="AF13" s="77">
        <f t="shared" ca="1" si="14"/>
        <v>5</v>
      </c>
      <c r="AG13" s="77" t="str">
        <f t="shared" ca="1" si="14"/>
        <v/>
      </c>
      <c r="AH13" s="77" t="str">
        <f t="shared" ca="1" si="14"/>
        <v/>
      </c>
      <c r="AI13" s="77" t="str">
        <f t="shared" ca="1" si="14"/>
        <v/>
      </c>
      <c r="AJ13" s="41"/>
      <c r="AK13" s="77">
        <f t="shared" ca="1" si="15"/>
        <v>3</v>
      </c>
      <c r="AL13" s="77">
        <f t="shared" ca="1" si="15"/>
        <v>3</v>
      </c>
      <c r="AM13" s="80"/>
      <c r="AN13" s="77">
        <f t="shared" ca="1" si="16"/>
        <v>3</v>
      </c>
    </row>
    <row r="14" spans="3:40" x14ac:dyDescent="0.4">
      <c r="C14" s="17" t="str">
        <f>Indicator_Input!$B12</f>
        <v>Eriador</v>
      </c>
      <c r="D14" s="17" t="str">
        <f>Indicator_Input!$C12</f>
        <v>Arthedain</v>
      </c>
      <c r="E14" s="76">
        <f t="shared" ca="1" si="11"/>
        <v>1893424</v>
      </c>
      <c r="F14" s="76">
        <f t="shared" ca="1" si="11"/>
        <v>2527868.4444444445</v>
      </c>
      <c r="G14" s="76">
        <f t="shared" ca="1" si="11"/>
        <v>2443924</v>
      </c>
      <c r="H14" s="76">
        <f t="shared" ca="1" si="11"/>
        <v>886698.40000000014</v>
      </c>
      <c r="I14" s="76">
        <f t="shared" ca="1" si="11"/>
        <v>2283424</v>
      </c>
      <c r="J14" s="76">
        <f t="shared" ca="1" si="11"/>
        <v>2033424</v>
      </c>
      <c r="K14" s="76">
        <f t="shared" ca="1" si="11"/>
        <v>2295597.913043478</v>
      </c>
      <c r="L14" s="76">
        <f t="shared" ca="1" si="11"/>
        <v>152005.44000000015</v>
      </c>
      <c r="M14" s="41"/>
      <c r="N14" s="76">
        <f t="shared" ca="1" si="12"/>
        <v>405347.84000000003</v>
      </c>
      <c r="O14" s="76">
        <f t="shared" ca="1" si="12"/>
        <v>633356</v>
      </c>
      <c r="P14" s="76">
        <f t="shared" ca="1" si="12"/>
        <v>785361.43999999983</v>
      </c>
      <c r="Q14" s="76">
        <f t="shared" ca="1" si="12"/>
        <v>0</v>
      </c>
      <c r="R14" s="76">
        <f t="shared" ca="1" si="12"/>
        <v>304010.88</v>
      </c>
      <c r="S14" s="41"/>
      <c r="T14" s="76">
        <f t="shared" ca="1" si="13"/>
        <v>330000</v>
      </c>
      <c r="U14" s="76">
        <f t="shared" ca="1" si="12"/>
        <v>4000</v>
      </c>
      <c r="V14" s="40"/>
      <c r="W14" s="77">
        <f t="shared" ca="1" si="17"/>
        <v>5</v>
      </c>
      <c r="X14" s="77">
        <f t="shared" ca="1" si="18"/>
        <v>5</v>
      </c>
      <c r="Y14" s="77">
        <f t="shared" ca="1" si="18"/>
        <v>5</v>
      </c>
      <c r="Z14" s="77">
        <f t="shared" ca="1" si="18"/>
        <v>5</v>
      </c>
      <c r="AA14" s="41"/>
      <c r="AB14" s="77">
        <f t="shared" ca="1" si="14"/>
        <v>1</v>
      </c>
      <c r="AC14" s="77">
        <f t="shared" ca="1" si="14"/>
        <v>4</v>
      </c>
      <c r="AD14" s="77">
        <f t="shared" ca="1" si="14"/>
        <v>5</v>
      </c>
      <c r="AE14" s="77">
        <f t="shared" ca="1" si="14"/>
        <v>1</v>
      </c>
      <c r="AF14" s="77">
        <f t="shared" ca="1" si="14"/>
        <v>5</v>
      </c>
      <c r="AG14" s="77" t="str">
        <f t="shared" ca="1" si="14"/>
        <v/>
      </c>
      <c r="AH14" s="77" t="str">
        <f t="shared" ca="1" si="14"/>
        <v/>
      </c>
      <c r="AI14" s="77" t="str">
        <f t="shared" ca="1" si="14"/>
        <v/>
      </c>
      <c r="AJ14" s="41"/>
      <c r="AK14" s="77">
        <f t="shared" ca="1" si="15"/>
        <v>1</v>
      </c>
      <c r="AL14" s="77">
        <f t="shared" ca="1" si="15"/>
        <v>4</v>
      </c>
      <c r="AM14" s="80"/>
      <c r="AN14" s="77">
        <f t="shared" ca="1" si="16"/>
        <v>4</v>
      </c>
    </row>
    <row r="15" spans="3:40" x14ac:dyDescent="0.4">
      <c r="C15" s="17" t="str">
        <f>Indicator_Input!$B13</f>
        <v>Eriador</v>
      </c>
      <c r="D15" s="17" t="str">
        <f>Indicator_Input!$C13</f>
        <v>Cardolan</v>
      </c>
      <c r="E15" s="76">
        <f t="shared" ca="1" si="11"/>
        <v>0</v>
      </c>
      <c r="F15" s="76">
        <f t="shared" ca="1" si="11"/>
        <v>0</v>
      </c>
      <c r="G15" s="76">
        <f t="shared" ca="1" si="11"/>
        <v>0</v>
      </c>
      <c r="H15" s="76">
        <f t="shared" ca="1" si="11"/>
        <v>3651.6600000000008</v>
      </c>
      <c r="I15" s="76">
        <f t="shared" ca="1" si="11"/>
        <v>0</v>
      </c>
      <c r="J15" s="76">
        <f t="shared" ca="1" si="11"/>
        <v>0</v>
      </c>
      <c r="K15" s="76">
        <f t="shared" ca="1" si="11"/>
        <v>0</v>
      </c>
      <c r="L15" s="76">
        <f t="shared" ca="1" si="11"/>
        <v>10549.24</v>
      </c>
      <c r="M15" s="41"/>
      <c r="N15" s="76">
        <f t="shared" ca="1" si="12"/>
        <v>2028.7</v>
      </c>
      <c r="O15" s="76">
        <f t="shared" ca="1" si="12"/>
        <v>10752.11</v>
      </c>
      <c r="P15" s="76">
        <f t="shared" ca="1" si="12"/>
        <v>12983.679999999998</v>
      </c>
      <c r="Q15" s="76">
        <f t="shared" ca="1" si="12"/>
        <v>0</v>
      </c>
      <c r="R15" s="76">
        <f t="shared" ca="1" si="12"/>
        <v>4260.2700000000013</v>
      </c>
      <c r="S15" s="41"/>
      <c r="T15" s="76">
        <f t="shared" ca="1" si="13"/>
        <v>11091</v>
      </c>
      <c r="U15" s="76">
        <f t="shared" ca="1" si="12"/>
        <v>1177</v>
      </c>
      <c r="V15" s="40"/>
      <c r="W15" s="77">
        <f t="shared" ca="1" si="17"/>
        <v>5</v>
      </c>
      <c r="X15" s="77">
        <f t="shared" ca="1" si="18"/>
        <v>1</v>
      </c>
      <c r="Y15" s="77">
        <f t="shared" ca="1" si="18"/>
        <v>1</v>
      </c>
      <c r="Z15" s="77">
        <f t="shared" ca="1" si="18"/>
        <v>1</v>
      </c>
      <c r="AA15" s="41"/>
      <c r="AB15" s="77">
        <f t="shared" ca="1" si="14"/>
        <v>1</v>
      </c>
      <c r="AC15" s="77">
        <f t="shared" ca="1" si="14"/>
        <v>5</v>
      </c>
      <c r="AD15" s="77">
        <f t="shared" ca="1" si="14"/>
        <v>5</v>
      </c>
      <c r="AE15" s="77">
        <f t="shared" ca="1" si="14"/>
        <v>1</v>
      </c>
      <c r="AF15" s="77">
        <f t="shared" ca="1" si="14"/>
        <v>5</v>
      </c>
      <c r="AG15" s="77" t="str">
        <f t="shared" ca="1" si="14"/>
        <v/>
      </c>
      <c r="AH15" s="77" t="str">
        <f t="shared" ca="1" si="14"/>
        <v/>
      </c>
      <c r="AI15" s="77" t="str">
        <f t="shared" ca="1" si="14"/>
        <v/>
      </c>
      <c r="AJ15" s="41"/>
      <c r="AK15" s="77">
        <f t="shared" ca="1" si="15"/>
        <v>3</v>
      </c>
      <c r="AL15" s="77">
        <f t="shared" ca="1" si="15"/>
        <v>3</v>
      </c>
      <c r="AM15" s="80"/>
      <c r="AN15" s="77">
        <f t="shared" ca="1" si="16"/>
        <v>4</v>
      </c>
    </row>
    <row r="16" spans="3:40" x14ac:dyDescent="0.4">
      <c r="C16" s="17" t="str">
        <f>Indicator_Input!$B14</f>
        <v>Eriador</v>
      </c>
      <c r="D16" s="17" t="str">
        <f>Indicator_Input!$C14</f>
        <v>Eregion</v>
      </c>
      <c r="E16" s="76">
        <f t="shared" ref="E16:L25" ca="1" si="19">IF(INDEX(INDIRECT(E$4),MATCH($D16,IN_Admin2,0))="","",
IF(INDEX(Measure,MATCH(E$4,PiN_Code,0))="Per",
IF(INDEX(Population,MATCH($D16,Admin2,0))-
((INDEX(INDIRECT(E$4),MATCH($D16, Admin2,0)) / INDEX(PiN_Threshold,MATCH(E$4,PiN_Code,0)))*
INDEX(PiN_Per, MATCH(E$4, PiN_Code,0)))&lt;=0,0,
INDEX(Population,MATCH($D16,Admin2,0))-
((INDEX(INDIRECT(E$4),MATCH($D16, Admin2,0))/INDEX(PiN_Threshold,MATCH(E$4,PiN_Code,0)))*
INDEX(PiN_Per, MATCH(E$4, PiN_Code,0)))),
IF(INDEX(Measure,MATCH(E$4,PiN_Code,0))="Proportion",
IF(INDEX(INDIRECT(E$4),MATCH($D16,IN_Admin2,0))&gt;INDEX(PiN_Threshold,MATCH(E$4,PiN_Code,0)),0,
(INDEX(PiN_Threshold,MATCH(E$4,PiN_Code,0))-INDEX(INDIRECT(E$4),MATCH($D16,IN_Admin2,0)))*INDEX(Population,MATCH($D16,Pop_Admin2,0))),
IF(INDEX(Measure,MATCH(E$4,PiN_Code,0))="Number",
IF(INDEX(INDIRECT(E$4),MATCH($D16,IN_Admin2,0))&gt;INDEX(Population,MATCH($D16,Pop_Admin2,0)),INDEX(Population,MATCH($D16,Pop_Admin2,0)),
INDEX(INDIRECT(E$4),MATCH($D16,IN_Admin2,0))),
IF(INDEX(Measure, MATCH(E$4, PiN_Code,0))="Propotion-Total",
INDEX(Population,MATCH($D16,Pop_Admin2,0))*INDEX(INDIRECT(E$4),MATCH($D16,IN_Admin2,0)),"CHECK")))))</f>
        <v>0</v>
      </c>
      <c r="F16" s="76">
        <f t="shared" ca="1" si="19"/>
        <v>8113.1111111111131</v>
      </c>
      <c r="G16" s="76">
        <f t="shared" ca="1" si="19"/>
        <v>3502</v>
      </c>
      <c r="H16" s="76">
        <f t="shared" ca="1" si="19"/>
        <v>0</v>
      </c>
      <c r="I16" s="76">
        <f t="shared" ca="1" si="19"/>
        <v>0</v>
      </c>
      <c r="J16" s="76">
        <f t="shared" ca="1" si="19"/>
        <v>0</v>
      </c>
      <c r="K16" s="76">
        <f t="shared" ca="1" si="19"/>
        <v>0</v>
      </c>
      <c r="L16" s="76">
        <f t="shared" ca="1" si="19"/>
        <v>13771.02</v>
      </c>
      <c r="M16" s="41"/>
      <c r="N16" s="76">
        <f t="shared" ca="1" si="12"/>
        <v>7560.56</v>
      </c>
      <c r="O16" s="76">
        <f t="shared" ca="1" si="12"/>
        <v>19171.419999999998</v>
      </c>
      <c r="P16" s="76">
        <f t="shared" ca="1" si="12"/>
        <v>23221.72</v>
      </c>
      <c r="Q16" s="76">
        <f t="shared" ca="1" si="12"/>
        <v>22411.660000000003</v>
      </c>
      <c r="R16" s="76">
        <f t="shared" ca="1" si="12"/>
        <v>10260.76</v>
      </c>
      <c r="S16" s="41"/>
      <c r="T16" s="76">
        <f t="shared" ca="1" si="13"/>
        <v>24417</v>
      </c>
      <c r="U16" s="76">
        <f t="shared" ca="1" si="12"/>
        <v>638</v>
      </c>
      <c r="V16" s="40"/>
      <c r="W16" s="77">
        <f t="shared" ca="1" si="17"/>
        <v>5</v>
      </c>
      <c r="X16" s="77">
        <f t="shared" ca="1" si="18"/>
        <v>3</v>
      </c>
      <c r="Y16" s="77">
        <f t="shared" ca="1" si="18"/>
        <v>1</v>
      </c>
      <c r="Z16" s="77">
        <f t="shared" ca="1" si="18"/>
        <v>1</v>
      </c>
      <c r="AA16" s="41"/>
      <c r="AB16" s="77">
        <f t="shared" ca="1" si="14"/>
        <v>1</v>
      </c>
      <c r="AC16" s="77">
        <f t="shared" ca="1" si="14"/>
        <v>5</v>
      </c>
      <c r="AD16" s="77">
        <f t="shared" ca="1" si="14"/>
        <v>5</v>
      </c>
      <c r="AE16" s="77">
        <f t="shared" ca="1" si="14"/>
        <v>5</v>
      </c>
      <c r="AF16" s="77">
        <f t="shared" ca="1" si="14"/>
        <v>5</v>
      </c>
      <c r="AG16" s="77" t="str">
        <f t="shared" ca="1" si="14"/>
        <v/>
      </c>
      <c r="AH16" s="77" t="str">
        <f t="shared" ca="1" si="14"/>
        <v/>
      </c>
      <c r="AI16" s="77" t="str">
        <f t="shared" ca="1" si="14"/>
        <v/>
      </c>
      <c r="AJ16" s="41"/>
      <c r="AK16" s="77">
        <f t="shared" ca="1" si="15"/>
        <v>4</v>
      </c>
      <c r="AL16" s="77">
        <f t="shared" ca="1" si="15"/>
        <v>2</v>
      </c>
      <c r="AM16" s="80"/>
      <c r="AN16" s="77">
        <f t="shared" ca="1" si="16"/>
        <v>1</v>
      </c>
    </row>
    <row r="17" spans="3:40" x14ac:dyDescent="0.4">
      <c r="C17" s="17" t="str">
        <f>Indicator_Input!$B15</f>
        <v>Eriador</v>
      </c>
      <c r="D17" s="17" t="str">
        <f>Indicator_Input!$C15</f>
        <v>Rhudaur</v>
      </c>
      <c r="E17" s="76">
        <f t="shared" ca="1" si="19"/>
        <v>0</v>
      </c>
      <c r="F17" s="76">
        <f t="shared" ca="1" si="19"/>
        <v>0</v>
      </c>
      <c r="G17" s="76">
        <f t="shared" ca="1" si="19"/>
        <v>0</v>
      </c>
      <c r="H17" s="76">
        <f t="shared" ca="1" si="19"/>
        <v>1121.3500000000001</v>
      </c>
      <c r="I17" s="76">
        <f t="shared" ca="1" si="19"/>
        <v>2735</v>
      </c>
      <c r="J17" s="76">
        <f t="shared" ca="1" si="19"/>
        <v>0</v>
      </c>
      <c r="K17" s="76">
        <f t="shared" ca="1" si="19"/>
        <v>0</v>
      </c>
      <c r="L17" s="76">
        <f t="shared" ca="1" si="19"/>
        <v>1695.7000000000003</v>
      </c>
      <c r="M17" s="41"/>
      <c r="N17" s="76">
        <f t="shared" ca="1" si="12"/>
        <v>519.65</v>
      </c>
      <c r="O17" s="76">
        <f t="shared" ca="1" si="12"/>
        <v>82.050000000000068</v>
      </c>
      <c r="P17" s="76">
        <f t="shared" ca="1" si="12"/>
        <v>1312.8</v>
      </c>
      <c r="Q17" s="76">
        <f t="shared" ca="1" si="12"/>
        <v>1558.9500000000003</v>
      </c>
      <c r="R17" s="76">
        <f t="shared" ca="1" si="12"/>
        <v>0</v>
      </c>
      <c r="S17" s="41"/>
      <c r="T17" s="76">
        <f t="shared" ca="1" si="13"/>
        <v>806</v>
      </c>
      <c r="U17" s="76">
        <f t="shared" ca="1" si="12"/>
        <v>311</v>
      </c>
      <c r="V17" s="40"/>
      <c r="W17" s="77">
        <f t="shared" ca="1" si="17"/>
        <v>4</v>
      </c>
      <c r="X17" s="77">
        <f t="shared" ca="1" si="18"/>
        <v>1</v>
      </c>
      <c r="Y17" s="77">
        <f t="shared" ca="1" si="18"/>
        <v>5</v>
      </c>
      <c r="Z17" s="77">
        <f t="shared" ca="1" si="18"/>
        <v>1</v>
      </c>
      <c r="AA17" s="41"/>
      <c r="AB17" s="77">
        <f t="shared" ca="1" si="14"/>
        <v>1</v>
      </c>
      <c r="AC17" s="77">
        <f t="shared" ca="1" si="14"/>
        <v>5</v>
      </c>
      <c r="AD17" s="77">
        <f t="shared" ca="1" si="14"/>
        <v>5</v>
      </c>
      <c r="AE17" s="77">
        <f t="shared" ca="1" si="14"/>
        <v>5</v>
      </c>
      <c r="AF17" s="77">
        <f t="shared" ca="1" si="14"/>
        <v>1</v>
      </c>
      <c r="AG17" s="77" t="str">
        <f t="shared" ca="1" si="14"/>
        <v/>
      </c>
      <c r="AH17" s="77" t="str">
        <f t="shared" ca="1" si="14"/>
        <v/>
      </c>
      <c r="AI17" s="77" t="str">
        <f t="shared" ca="1" si="14"/>
        <v/>
      </c>
      <c r="AJ17" s="41"/>
      <c r="AK17" s="77">
        <f t="shared" ca="1" si="15"/>
        <v>3</v>
      </c>
      <c r="AL17" s="77">
        <f t="shared" ca="1" si="15"/>
        <v>3</v>
      </c>
      <c r="AM17" s="80"/>
      <c r="AN17" s="77">
        <f t="shared" ca="1" si="16"/>
        <v>1</v>
      </c>
    </row>
    <row r="18" spans="3:40" x14ac:dyDescent="0.4">
      <c r="C18" s="17" t="str">
        <f>Indicator_Input!$B16</f>
        <v>Eriador</v>
      </c>
      <c r="D18" s="17" t="str">
        <f>Indicator_Input!$C16</f>
        <v>The Shire</v>
      </c>
      <c r="E18" s="76">
        <f t="shared" ca="1" si="19"/>
        <v>0</v>
      </c>
      <c r="F18" s="76">
        <f t="shared" ca="1" si="19"/>
        <v>96632.888888888891</v>
      </c>
      <c r="G18" s="76">
        <f t="shared" ca="1" si="19"/>
        <v>120244</v>
      </c>
      <c r="H18" s="76">
        <f t="shared" ca="1" si="19"/>
        <v>48542.720000000008</v>
      </c>
      <c r="I18" s="76">
        <f t="shared" ca="1" si="19"/>
        <v>2744</v>
      </c>
      <c r="J18" s="76">
        <f t="shared" ca="1" si="19"/>
        <v>0</v>
      </c>
      <c r="K18" s="76">
        <f t="shared" ca="1" si="19"/>
        <v>0</v>
      </c>
      <c r="L18" s="76">
        <f t="shared" ca="1" si="19"/>
        <v>88143.360000000001</v>
      </c>
      <c r="M18" s="41"/>
      <c r="N18" s="76">
        <f t="shared" ca="1" si="12"/>
        <v>22993.919999999998</v>
      </c>
      <c r="O18" s="76">
        <f t="shared" ca="1" si="12"/>
        <v>0</v>
      </c>
      <c r="P18" s="76">
        <f t="shared" ca="1" si="12"/>
        <v>63871.999999999993</v>
      </c>
      <c r="Q18" s="76">
        <f t="shared" ca="1" si="12"/>
        <v>3832.3200000000033</v>
      </c>
      <c r="R18" s="76">
        <f t="shared" ca="1" si="12"/>
        <v>93253.119999999995</v>
      </c>
      <c r="S18" s="41"/>
      <c r="T18" s="76">
        <f t="shared" ca="1" si="13"/>
        <v>18411</v>
      </c>
      <c r="U18" s="76">
        <f t="shared" ca="1" si="12"/>
        <v>13433</v>
      </c>
      <c r="V18" s="40"/>
      <c r="W18" s="77">
        <f t="shared" ca="1" si="17"/>
        <v>5</v>
      </c>
      <c r="X18" s="77">
        <f t="shared" ca="1" si="18"/>
        <v>5</v>
      </c>
      <c r="Y18" s="77">
        <f t="shared" ca="1" si="18"/>
        <v>1</v>
      </c>
      <c r="Z18" s="77">
        <f t="shared" ca="1" si="18"/>
        <v>1</v>
      </c>
      <c r="AA18" s="41"/>
      <c r="AB18" s="77">
        <f t="shared" ca="1" si="14"/>
        <v>1</v>
      </c>
      <c r="AC18" s="77">
        <f t="shared" ca="1" si="14"/>
        <v>5</v>
      </c>
      <c r="AD18" s="77">
        <f t="shared" ca="1" si="14"/>
        <v>5</v>
      </c>
      <c r="AE18" s="77">
        <f t="shared" ca="1" si="14"/>
        <v>3</v>
      </c>
      <c r="AF18" s="77">
        <f t="shared" ca="1" si="14"/>
        <v>5</v>
      </c>
      <c r="AG18" s="77" t="str">
        <f t="shared" ca="1" si="14"/>
        <v/>
      </c>
      <c r="AH18" s="77" t="str">
        <f t="shared" ca="1" si="14"/>
        <v/>
      </c>
      <c r="AI18" s="77" t="str">
        <f t="shared" ca="1" si="14"/>
        <v/>
      </c>
      <c r="AJ18" s="41"/>
      <c r="AK18" s="77">
        <f t="shared" ca="1" si="15"/>
        <v>4</v>
      </c>
      <c r="AL18" s="77">
        <f t="shared" ca="1" si="15"/>
        <v>3</v>
      </c>
      <c r="AM18" s="80"/>
      <c r="AN18" s="77">
        <f t="shared" ca="1" si="16"/>
        <v>2</v>
      </c>
    </row>
    <row r="19" spans="3:40" x14ac:dyDescent="0.4">
      <c r="C19" s="17" t="str">
        <f>Indicator_Input!$B17</f>
        <v>Eriador</v>
      </c>
      <c r="D19" s="17" t="str">
        <f>Indicator_Input!$C17</f>
        <v>Thorin's Halls</v>
      </c>
      <c r="E19" s="76">
        <f t="shared" ca="1" si="19"/>
        <v>0</v>
      </c>
      <c r="F19" s="76">
        <f t="shared" ca="1" si="19"/>
        <v>15510</v>
      </c>
      <c r="G19" s="76">
        <f t="shared" ca="1" si="19"/>
        <v>0</v>
      </c>
      <c r="H19" s="76">
        <f t="shared" ca="1" si="19"/>
        <v>0</v>
      </c>
      <c r="I19" s="76">
        <f t="shared" ca="1" si="19"/>
        <v>0</v>
      </c>
      <c r="J19" s="76">
        <f t="shared" ca="1" si="19"/>
        <v>30510</v>
      </c>
      <c r="K19" s="76">
        <f t="shared" ca="1" si="19"/>
        <v>0</v>
      </c>
      <c r="L19" s="76">
        <f t="shared" ca="1" si="19"/>
        <v>15255</v>
      </c>
      <c r="M19" s="41"/>
      <c r="N19" s="76">
        <f t="shared" ca="1" si="12"/>
        <v>6712.2</v>
      </c>
      <c r="O19" s="76">
        <f t="shared" ca="1" si="12"/>
        <v>4576.5000000000009</v>
      </c>
      <c r="P19" s="76">
        <f t="shared" ca="1" si="12"/>
        <v>24713.1</v>
      </c>
      <c r="Q19" s="76">
        <f t="shared" ca="1" si="12"/>
        <v>2440.800000000002</v>
      </c>
      <c r="R19" s="76">
        <f t="shared" ca="1" si="12"/>
        <v>2135.7000000000021</v>
      </c>
      <c r="S19" s="41"/>
      <c r="T19" s="76">
        <f t="shared" ca="1" si="13"/>
        <v>20952</v>
      </c>
      <c r="U19" s="76">
        <f t="shared" ca="1" si="12"/>
        <v>2405</v>
      </c>
      <c r="V19" s="40"/>
      <c r="W19" s="77">
        <f t="shared" ca="1" si="17"/>
        <v>5</v>
      </c>
      <c r="X19" s="77">
        <f t="shared" ca="1" si="18"/>
        <v>4</v>
      </c>
      <c r="Y19" s="77">
        <f t="shared" ca="1" si="18"/>
        <v>1</v>
      </c>
      <c r="Z19" s="77">
        <f t="shared" ca="1" si="18"/>
        <v>1</v>
      </c>
      <c r="AA19" s="41"/>
      <c r="AB19" s="77">
        <f t="shared" ca="1" si="14"/>
        <v>1</v>
      </c>
      <c r="AC19" s="77">
        <f t="shared" ca="1" si="14"/>
        <v>5</v>
      </c>
      <c r="AD19" s="77">
        <f t="shared" ca="1" si="14"/>
        <v>5</v>
      </c>
      <c r="AE19" s="77">
        <f t="shared" ca="1" si="14"/>
        <v>4</v>
      </c>
      <c r="AF19" s="77">
        <f t="shared" ca="1" si="14"/>
        <v>4</v>
      </c>
      <c r="AG19" s="77" t="str">
        <f t="shared" ca="1" si="14"/>
        <v/>
      </c>
      <c r="AH19" s="77" t="str">
        <f t="shared" ca="1" si="14"/>
        <v/>
      </c>
      <c r="AI19" s="77" t="str">
        <f t="shared" ca="1" si="14"/>
        <v/>
      </c>
      <c r="AJ19" s="41"/>
      <c r="AK19" s="77">
        <f t="shared" ca="1" si="15"/>
        <v>3</v>
      </c>
      <c r="AL19" s="77">
        <f t="shared" ca="1" si="15"/>
        <v>2</v>
      </c>
      <c r="AM19" s="80"/>
      <c r="AN19" s="77">
        <f t="shared" ca="1" si="16"/>
        <v>2</v>
      </c>
    </row>
    <row r="20" spans="3:40" x14ac:dyDescent="0.4">
      <c r="C20" s="17" t="str">
        <f>Indicator_Input!$B18</f>
        <v>Forodwaith</v>
      </c>
      <c r="D20" s="17" t="str">
        <f>Indicator_Input!$C18</f>
        <v>Cape of Forochel</v>
      </c>
      <c r="E20" s="76">
        <f t="shared" ca="1" si="19"/>
        <v>0</v>
      </c>
      <c r="F20" s="76">
        <f t="shared" ca="1" si="19"/>
        <v>0</v>
      </c>
      <c r="G20" s="76">
        <f t="shared" ca="1" si="19"/>
        <v>0</v>
      </c>
      <c r="H20" s="76">
        <f t="shared" ca="1" si="19"/>
        <v>0</v>
      </c>
      <c r="I20" s="76">
        <f t="shared" ca="1" si="19"/>
        <v>0</v>
      </c>
      <c r="J20" s="76">
        <f t="shared" ca="1" si="19"/>
        <v>0</v>
      </c>
      <c r="K20" s="76">
        <f t="shared" ca="1" si="19"/>
        <v>0</v>
      </c>
      <c r="L20" s="76">
        <f t="shared" ca="1" si="19"/>
        <v>5130.6000000000004</v>
      </c>
      <c r="M20" s="41"/>
      <c r="N20" s="76">
        <f t="shared" ca="1" si="12"/>
        <v>980.85</v>
      </c>
      <c r="O20" s="76">
        <f t="shared" ca="1" si="12"/>
        <v>2188.0500000000002</v>
      </c>
      <c r="P20" s="76">
        <f t="shared" ca="1" si="12"/>
        <v>2489.85</v>
      </c>
      <c r="Q20" s="76">
        <f t="shared" ca="1" si="12"/>
        <v>6111.4500000000007</v>
      </c>
      <c r="R20" s="76">
        <f t="shared" ca="1" si="12"/>
        <v>5206.05</v>
      </c>
      <c r="S20" s="41"/>
      <c r="T20" s="76">
        <f t="shared" ca="1" si="13"/>
        <v>503</v>
      </c>
      <c r="U20" s="76">
        <f t="shared" ca="1" si="12"/>
        <v>918</v>
      </c>
      <c r="V20" s="40"/>
      <c r="W20" s="77">
        <f t="shared" ca="1" si="17"/>
        <v>4</v>
      </c>
      <c r="X20" s="77">
        <f t="shared" ca="1" si="18"/>
        <v>1</v>
      </c>
      <c r="Y20" s="77">
        <f t="shared" ca="1" si="18"/>
        <v>1</v>
      </c>
      <c r="Z20" s="77">
        <f t="shared" ca="1" si="18"/>
        <v>1</v>
      </c>
      <c r="AA20" s="41"/>
      <c r="AB20" s="77">
        <f t="shared" ca="1" si="14"/>
        <v>1</v>
      </c>
      <c r="AC20" s="77">
        <f t="shared" ca="1" si="14"/>
        <v>4</v>
      </c>
      <c r="AD20" s="77">
        <f t="shared" ca="1" si="14"/>
        <v>5</v>
      </c>
      <c r="AE20" s="77">
        <f t="shared" ca="1" si="14"/>
        <v>5</v>
      </c>
      <c r="AF20" s="77">
        <f t="shared" ca="1" si="14"/>
        <v>5</v>
      </c>
      <c r="AG20" s="77" t="str">
        <f t="shared" ca="1" si="14"/>
        <v/>
      </c>
      <c r="AH20" s="77" t="str">
        <f t="shared" ca="1" si="14"/>
        <v/>
      </c>
      <c r="AI20" s="77" t="str">
        <f t="shared" ca="1" si="14"/>
        <v/>
      </c>
      <c r="AJ20" s="41"/>
      <c r="AK20" s="77">
        <f t="shared" ca="1" si="15"/>
        <v>1</v>
      </c>
      <c r="AL20" s="77">
        <f t="shared" ca="1" si="15"/>
        <v>3</v>
      </c>
      <c r="AM20" s="80"/>
      <c r="AN20" s="77">
        <f t="shared" ca="1" si="16"/>
        <v>5</v>
      </c>
    </row>
    <row r="21" spans="3:40" x14ac:dyDescent="0.4">
      <c r="C21" s="17" t="str">
        <f>Indicator_Input!$B19</f>
        <v>Forodwaith</v>
      </c>
      <c r="D21" s="17" t="str">
        <f>Indicator_Input!$C19</f>
        <v>Forochel</v>
      </c>
      <c r="E21" s="76">
        <f t="shared" ca="1" si="19"/>
        <v>0</v>
      </c>
      <c r="F21" s="76">
        <f t="shared" ca="1" si="19"/>
        <v>0</v>
      </c>
      <c r="G21" s="76">
        <f t="shared" ca="1" si="19"/>
        <v>0</v>
      </c>
      <c r="H21" s="76">
        <f t="shared" ca="1" si="19"/>
        <v>1369.98</v>
      </c>
      <c r="I21" s="76">
        <f t="shared" ca="1" si="19"/>
        <v>0</v>
      </c>
      <c r="J21" s="76">
        <f t="shared" ca="1" si="19"/>
        <v>0</v>
      </c>
      <c r="K21" s="76">
        <f t="shared" ca="1" si="19"/>
        <v>0</v>
      </c>
      <c r="L21" s="76">
        <f t="shared" ca="1" si="19"/>
        <v>456.66000000000042</v>
      </c>
      <c r="M21" s="41"/>
      <c r="N21" s="76">
        <f t="shared" ca="1" si="12"/>
        <v>862.58</v>
      </c>
      <c r="O21" s="76">
        <f t="shared" ca="1" si="12"/>
        <v>1217.76</v>
      </c>
      <c r="P21" s="76">
        <f t="shared" ca="1" si="12"/>
        <v>456.65999999999985</v>
      </c>
      <c r="Q21" s="76">
        <f t="shared" ca="1" si="12"/>
        <v>2029.6000000000001</v>
      </c>
      <c r="R21" s="76">
        <f t="shared" ca="1" si="12"/>
        <v>3044.4000000000005</v>
      </c>
      <c r="S21" s="41"/>
      <c r="T21" s="76">
        <f t="shared" ca="1" si="13"/>
        <v>2643</v>
      </c>
      <c r="U21" s="76">
        <f t="shared" ca="1" si="12"/>
        <v>235</v>
      </c>
      <c r="V21" s="40"/>
      <c r="W21" s="77">
        <f t="shared" ca="1" si="17"/>
        <v>5</v>
      </c>
      <c r="X21" s="77">
        <f t="shared" ca="1" si="18"/>
        <v>1</v>
      </c>
      <c r="Y21" s="77">
        <f t="shared" ca="1" si="18"/>
        <v>1</v>
      </c>
      <c r="Z21" s="77">
        <f t="shared" ca="1" si="18"/>
        <v>1</v>
      </c>
      <c r="AA21" s="41"/>
      <c r="AB21" s="77">
        <f t="shared" ca="1" si="14"/>
        <v>1</v>
      </c>
      <c r="AC21" s="77">
        <f t="shared" ca="1" si="14"/>
        <v>5</v>
      </c>
      <c r="AD21" s="77">
        <f t="shared" ca="1" si="14"/>
        <v>4</v>
      </c>
      <c r="AE21" s="77">
        <f t="shared" ca="1" si="14"/>
        <v>5</v>
      </c>
      <c r="AF21" s="77">
        <f t="shared" ca="1" si="14"/>
        <v>5</v>
      </c>
      <c r="AG21" s="77" t="str">
        <f t="shared" ca="1" si="14"/>
        <v/>
      </c>
      <c r="AH21" s="77" t="str">
        <f t="shared" ca="1" si="14"/>
        <v/>
      </c>
      <c r="AI21" s="77" t="str">
        <f t="shared" ca="1" si="14"/>
        <v/>
      </c>
      <c r="AJ21" s="41"/>
      <c r="AK21" s="77">
        <f t="shared" ca="1" si="15"/>
        <v>1</v>
      </c>
      <c r="AL21" s="77">
        <f t="shared" ca="1" si="15"/>
        <v>3</v>
      </c>
      <c r="AM21" s="80"/>
      <c r="AN21" s="77">
        <f t="shared" ca="1" si="16"/>
        <v>5</v>
      </c>
    </row>
    <row r="22" spans="3:40" x14ac:dyDescent="0.4">
      <c r="C22" s="17" t="str">
        <f>Indicator_Input!$B20</f>
        <v>Gondor</v>
      </c>
      <c r="D22" s="17" t="str">
        <f>Indicator_Input!$C20</f>
        <v>Anfalas</v>
      </c>
      <c r="E22" s="76">
        <f t="shared" ca="1" si="19"/>
        <v>0</v>
      </c>
      <c r="F22" s="76">
        <f t="shared" ca="1" si="19"/>
        <v>16569.222222222226</v>
      </c>
      <c r="G22" s="76">
        <f t="shared" ca="1" si="19"/>
        <v>0</v>
      </c>
      <c r="H22" s="76">
        <f t="shared" ca="1" si="19"/>
        <v>0</v>
      </c>
      <c r="I22" s="76">
        <f t="shared" ca="1" si="19"/>
        <v>0</v>
      </c>
      <c r="J22" s="76">
        <f t="shared" ca="1" si="19"/>
        <v>54347</v>
      </c>
      <c r="K22" s="76">
        <f t="shared" ca="1" si="19"/>
        <v>0</v>
      </c>
      <c r="L22" s="76">
        <f t="shared" ca="1" si="19"/>
        <v>10325.930000000004</v>
      </c>
      <c r="M22" s="41"/>
      <c r="N22" s="76">
        <f t="shared" ca="1" si="12"/>
        <v>7608.5800000000008</v>
      </c>
      <c r="O22" s="76">
        <f t="shared" ca="1" si="12"/>
        <v>0</v>
      </c>
      <c r="P22" s="76">
        <f t="shared" ca="1" si="12"/>
        <v>0</v>
      </c>
      <c r="Q22" s="76">
        <f t="shared" ca="1" si="12"/>
        <v>0</v>
      </c>
      <c r="R22" s="76">
        <f t="shared" ca="1" si="12"/>
        <v>40216.78</v>
      </c>
      <c r="S22" s="41"/>
      <c r="T22" s="76">
        <f t="shared" ca="1" si="13"/>
        <v>12641</v>
      </c>
      <c r="U22" s="76">
        <f t="shared" ca="1" si="12"/>
        <v>3591</v>
      </c>
      <c r="V22" s="40"/>
      <c r="W22" s="77">
        <f t="shared" ca="1" si="17"/>
        <v>5</v>
      </c>
      <c r="X22" s="77">
        <f t="shared" ca="1" si="18"/>
        <v>3</v>
      </c>
      <c r="Y22" s="77">
        <f t="shared" ca="1" si="18"/>
        <v>1</v>
      </c>
      <c r="Z22" s="77">
        <f t="shared" ca="1" si="18"/>
        <v>1</v>
      </c>
      <c r="AA22" s="41"/>
      <c r="AB22" s="77">
        <f t="shared" ca="1" si="14"/>
        <v>1</v>
      </c>
      <c r="AC22" s="77">
        <f t="shared" ca="1" si="14"/>
        <v>5</v>
      </c>
      <c r="AD22" s="77">
        <f t="shared" ca="1" si="14"/>
        <v>1</v>
      </c>
      <c r="AE22" s="77">
        <f t="shared" ca="1" si="14"/>
        <v>1</v>
      </c>
      <c r="AF22" s="77">
        <f t="shared" ca="1" si="14"/>
        <v>5</v>
      </c>
      <c r="AG22" s="77" t="str">
        <f t="shared" ca="1" si="14"/>
        <v/>
      </c>
      <c r="AH22" s="77" t="str">
        <f t="shared" ca="1" si="14"/>
        <v/>
      </c>
      <c r="AI22" s="77" t="str">
        <f t="shared" ca="1" si="14"/>
        <v/>
      </c>
      <c r="AJ22" s="41"/>
      <c r="AK22" s="77">
        <f t="shared" ca="1" si="15"/>
        <v>3</v>
      </c>
      <c r="AL22" s="77">
        <f t="shared" ca="1" si="15"/>
        <v>2</v>
      </c>
      <c r="AM22" s="80"/>
      <c r="AN22" s="77">
        <f t="shared" ca="1" si="16"/>
        <v>3</v>
      </c>
    </row>
    <row r="23" spans="3:40" x14ac:dyDescent="0.4">
      <c r="C23" s="17" t="str">
        <f>Indicator_Input!$B21</f>
        <v>Gondor</v>
      </c>
      <c r="D23" s="17" t="str">
        <f>Indicator_Input!$C21</f>
        <v>Anorien</v>
      </c>
      <c r="E23" s="76">
        <f t="shared" ca="1" si="19"/>
        <v>0</v>
      </c>
      <c r="F23" s="76">
        <f t="shared" ca="1" si="19"/>
        <v>0</v>
      </c>
      <c r="G23" s="76">
        <f t="shared" ca="1" si="19"/>
        <v>0</v>
      </c>
      <c r="H23" s="76">
        <f t="shared" ca="1" si="19"/>
        <v>1162.0400000000004</v>
      </c>
      <c r="I23" s="76">
        <f t="shared" ca="1" si="19"/>
        <v>6116</v>
      </c>
      <c r="J23" s="76">
        <f t="shared" ca="1" si="19"/>
        <v>0</v>
      </c>
      <c r="K23" s="76">
        <f t="shared" ca="1" si="19"/>
        <v>0</v>
      </c>
      <c r="L23" s="76">
        <f t="shared" ca="1" si="19"/>
        <v>1223.2000000000005</v>
      </c>
      <c r="M23" s="41"/>
      <c r="N23" s="76">
        <f t="shared" ca="1" si="12"/>
        <v>978.56000000000006</v>
      </c>
      <c r="O23" s="76">
        <f t="shared" ca="1" si="12"/>
        <v>0</v>
      </c>
      <c r="P23" s="76">
        <f t="shared" ca="1" si="12"/>
        <v>366.95999999999964</v>
      </c>
      <c r="Q23" s="76">
        <f t="shared" ca="1" si="12"/>
        <v>672.75999999999988</v>
      </c>
      <c r="R23" s="76">
        <f t="shared" ca="1" si="12"/>
        <v>2079.4399999999996</v>
      </c>
      <c r="S23" s="41"/>
      <c r="T23" s="76">
        <f t="shared" ca="1" si="13"/>
        <v>4235</v>
      </c>
      <c r="U23" s="76">
        <f t="shared" ca="1" si="12"/>
        <v>634</v>
      </c>
      <c r="V23" s="40"/>
      <c r="W23" s="77">
        <f t="shared" ca="1" si="17"/>
        <v>5</v>
      </c>
      <c r="X23" s="77">
        <f t="shared" ca="1" si="18"/>
        <v>1</v>
      </c>
      <c r="Y23" s="77">
        <f t="shared" ca="1" si="18"/>
        <v>5</v>
      </c>
      <c r="Z23" s="77">
        <f t="shared" ca="1" si="18"/>
        <v>1</v>
      </c>
      <c r="AA23" s="41"/>
      <c r="AB23" s="77">
        <f t="shared" ca="1" si="14"/>
        <v>1</v>
      </c>
      <c r="AC23" s="77">
        <f t="shared" ca="1" si="14"/>
        <v>5</v>
      </c>
      <c r="AD23" s="77">
        <f t="shared" ca="1" si="14"/>
        <v>4</v>
      </c>
      <c r="AE23" s="77">
        <f t="shared" ca="1" si="14"/>
        <v>5</v>
      </c>
      <c r="AF23" s="77">
        <f t="shared" ca="1" si="14"/>
        <v>5</v>
      </c>
      <c r="AG23" s="77" t="str">
        <f t="shared" ca="1" si="14"/>
        <v/>
      </c>
      <c r="AH23" s="77" t="str">
        <f t="shared" ca="1" si="14"/>
        <v/>
      </c>
      <c r="AI23" s="77" t="str">
        <f t="shared" ca="1" si="14"/>
        <v/>
      </c>
      <c r="AJ23" s="41"/>
      <c r="AK23" s="77">
        <f t="shared" ca="1" si="15"/>
        <v>4</v>
      </c>
      <c r="AL23" s="77">
        <f t="shared" ca="1" si="15"/>
        <v>3</v>
      </c>
      <c r="AM23" s="80"/>
      <c r="AN23" s="77">
        <f t="shared" ca="1" si="16"/>
        <v>3</v>
      </c>
    </row>
    <row r="24" spans="3:40" x14ac:dyDescent="0.4">
      <c r="C24" s="17" t="str">
        <f>Indicator_Input!$B22</f>
        <v>Gondor</v>
      </c>
      <c r="D24" s="17" t="str">
        <f>Indicator_Input!$C22</f>
        <v>Belfalas</v>
      </c>
      <c r="E24" s="76">
        <f t="shared" ca="1" si="19"/>
        <v>412154</v>
      </c>
      <c r="F24" s="76">
        <f t="shared" ca="1" si="19"/>
        <v>534376.22222222225</v>
      </c>
      <c r="G24" s="76">
        <f t="shared" ca="1" si="19"/>
        <v>452154</v>
      </c>
      <c r="H24" s="76">
        <f t="shared" ca="1" si="19"/>
        <v>0</v>
      </c>
      <c r="I24" s="76">
        <f t="shared" ca="1" si="19"/>
        <v>177154</v>
      </c>
      <c r="J24" s="76">
        <f t="shared" ca="1" si="19"/>
        <v>0</v>
      </c>
      <c r="K24" s="76">
        <f t="shared" ca="1" si="19"/>
        <v>286501.82608695654</v>
      </c>
      <c r="L24" s="76">
        <f t="shared" ca="1" si="19"/>
        <v>242947.76000000004</v>
      </c>
      <c r="M24" s="41"/>
      <c r="N24" s="76">
        <f t="shared" ca="1" si="12"/>
        <v>60736.94</v>
      </c>
      <c r="O24" s="76">
        <f t="shared" ca="1" si="12"/>
        <v>270555.46000000002</v>
      </c>
      <c r="P24" s="76">
        <f t="shared" ca="1" si="12"/>
        <v>33129.239999999969</v>
      </c>
      <c r="Q24" s="76">
        <f t="shared" ca="1" si="12"/>
        <v>0</v>
      </c>
      <c r="R24" s="76">
        <f t="shared" ca="1" si="12"/>
        <v>397550.88</v>
      </c>
      <c r="S24" s="41"/>
      <c r="T24" s="76">
        <f t="shared" ca="1" si="13"/>
        <v>181302</v>
      </c>
      <c r="U24" s="76">
        <f t="shared" ca="1" si="12"/>
        <v>49229</v>
      </c>
      <c r="V24" s="40"/>
      <c r="W24" s="77">
        <f t="shared" ca="1" si="17"/>
        <v>5</v>
      </c>
      <c r="X24" s="77">
        <f t="shared" ca="1" si="18"/>
        <v>5</v>
      </c>
      <c r="Y24" s="77">
        <f t="shared" ca="1" si="18"/>
        <v>3</v>
      </c>
      <c r="Z24" s="77">
        <f t="shared" ca="1" si="18"/>
        <v>5</v>
      </c>
      <c r="AA24" s="41"/>
      <c r="AB24" s="77">
        <f t="shared" ca="1" si="14"/>
        <v>1</v>
      </c>
      <c r="AC24" s="77">
        <f t="shared" ca="1" si="14"/>
        <v>5</v>
      </c>
      <c r="AD24" s="77">
        <f t="shared" ca="1" si="14"/>
        <v>4</v>
      </c>
      <c r="AE24" s="77">
        <f t="shared" ca="1" si="14"/>
        <v>1</v>
      </c>
      <c r="AF24" s="77">
        <f t="shared" ca="1" si="14"/>
        <v>5</v>
      </c>
      <c r="AG24" s="77" t="str">
        <f t="shared" ca="1" si="14"/>
        <v/>
      </c>
      <c r="AH24" s="77" t="str">
        <f t="shared" ca="1" si="14"/>
        <v/>
      </c>
      <c r="AI24" s="77" t="str">
        <f t="shared" ca="1" si="14"/>
        <v/>
      </c>
      <c r="AJ24" s="41"/>
      <c r="AK24" s="77">
        <f t="shared" ca="1" si="15"/>
        <v>1</v>
      </c>
      <c r="AL24" s="77">
        <f t="shared" ca="1" si="15"/>
        <v>3</v>
      </c>
      <c r="AM24" s="80"/>
      <c r="AN24" s="77">
        <f t="shared" ca="1" si="16"/>
        <v>5</v>
      </c>
    </row>
    <row r="25" spans="3:40" x14ac:dyDescent="0.4">
      <c r="C25" s="17" t="str">
        <f>Indicator_Input!$B23</f>
        <v>Gondor</v>
      </c>
      <c r="D25" s="17" t="str">
        <f>Indicator_Input!$C23</f>
        <v>Dor-en-Ernil</v>
      </c>
      <c r="E25" s="76">
        <f t="shared" ca="1" si="19"/>
        <v>0</v>
      </c>
      <c r="F25" s="76">
        <f t="shared" ca="1" si="19"/>
        <v>0</v>
      </c>
      <c r="G25" s="76">
        <f t="shared" ca="1" si="19"/>
        <v>0</v>
      </c>
      <c r="H25" s="76">
        <f t="shared" ca="1" si="19"/>
        <v>2982.3600000000006</v>
      </c>
      <c r="I25" s="76">
        <f t="shared" ca="1" si="19"/>
        <v>0</v>
      </c>
      <c r="J25" s="76">
        <f t="shared" ca="1" si="19"/>
        <v>0</v>
      </c>
      <c r="K25" s="76">
        <f t="shared" ca="1" si="19"/>
        <v>0</v>
      </c>
      <c r="L25" s="76">
        <f t="shared" ca="1" si="19"/>
        <v>5244.84</v>
      </c>
      <c r="M25" s="41"/>
      <c r="N25" s="76">
        <f t="shared" ca="1" si="12"/>
        <v>1748.2800000000002</v>
      </c>
      <c r="O25" s="76">
        <f t="shared" ca="1" si="12"/>
        <v>5964.7200000000012</v>
      </c>
      <c r="P25" s="76">
        <f t="shared" ca="1" si="12"/>
        <v>7507.32</v>
      </c>
      <c r="Q25" s="76">
        <f t="shared" ca="1" si="12"/>
        <v>6787.4400000000005</v>
      </c>
      <c r="R25" s="76">
        <f t="shared" ca="1" si="12"/>
        <v>6273.2400000000007</v>
      </c>
      <c r="S25" s="41"/>
      <c r="T25" s="76">
        <f t="shared" ca="1" si="13"/>
        <v>9357</v>
      </c>
      <c r="U25" s="76">
        <f t="shared" ca="1" si="12"/>
        <v>1331</v>
      </c>
      <c r="V25" s="40"/>
      <c r="W25" s="77">
        <f t="shared" ca="1" si="17"/>
        <v>5</v>
      </c>
      <c r="X25" s="77">
        <f t="shared" ca="1" si="18"/>
        <v>1</v>
      </c>
      <c r="Y25" s="77">
        <f t="shared" ca="1" si="18"/>
        <v>1</v>
      </c>
      <c r="Z25" s="77">
        <f t="shared" ca="1" si="18"/>
        <v>1</v>
      </c>
      <c r="AA25" s="41"/>
      <c r="AB25" s="77">
        <f t="shared" ca="1" si="14"/>
        <v>1</v>
      </c>
      <c r="AC25" s="77">
        <f t="shared" ca="1" si="14"/>
        <v>5</v>
      </c>
      <c r="AD25" s="77">
        <f t="shared" ca="1" si="14"/>
        <v>5</v>
      </c>
      <c r="AE25" s="77">
        <f t="shared" ca="1" si="14"/>
        <v>5</v>
      </c>
      <c r="AF25" s="77">
        <f t="shared" ca="1" si="14"/>
        <v>5</v>
      </c>
      <c r="AG25" s="77" t="str">
        <f t="shared" ca="1" si="14"/>
        <v/>
      </c>
      <c r="AH25" s="77" t="str">
        <f t="shared" ca="1" si="14"/>
        <v/>
      </c>
      <c r="AI25" s="77" t="str">
        <f t="shared" ca="1" si="14"/>
        <v/>
      </c>
      <c r="AJ25" s="41"/>
      <c r="AK25" s="77">
        <f t="shared" ca="1" si="15"/>
        <v>3</v>
      </c>
      <c r="AL25" s="77">
        <f t="shared" ca="1" si="15"/>
        <v>3</v>
      </c>
      <c r="AM25" s="80"/>
      <c r="AN25" s="77">
        <f t="shared" ca="1" si="16"/>
        <v>2</v>
      </c>
    </row>
    <row r="26" spans="3:40" x14ac:dyDescent="0.4">
      <c r="C26" s="17" t="str">
        <f>Indicator_Input!$B24</f>
        <v>Gondor</v>
      </c>
      <c r="D26" s="17" t="str">
        <f>Indicator_Input!$C24</f>
        <v>Ethir Anduin</v>
      </c>
      <c r="E26" s="76">
        <f t="shared" ref="E26:L35" ca="1" si="20">IF(INDEX(INDIRECT(E$4),MATCH($D26,IN_Admin2,0))="","",
IF(INDEX(Measure,MATCH(E$4,PiN_Code,0))="Per",
IF(INDEX(Population,MATCH($D26,Admin2,0))-
((INDEX(INDIRECT(E$4),MATCH($D26, Admin2,0)) / INDEX(PiN_Threshold,MATCH(E$4,PiN_Code,0)))*
INDEX(PiN_Per, MATCH(E$4, PiN_Code,0)))&lt;=0,0,
INDEX(Population,MATCH($D26,Admin2,0))-
((INDEX(INDIRECT(E$4),MATCH($D26, Admin2,0))/INDEX(PiN_Threshold,MATCH(E$4,PiN_Code,0)))*
INDEX(PiN_Per, MATCH(E$4, PiN_Code,0)))),
IF(INDEX(Measure,MATCH(E$4,PiN_Code,0))="Proportion",
IF(INDEX(INDIRECT(E$4),MATCH($D26,IN_Admin2,0))&gt;INDEX(PiN_Threshold,MATCH(E$4,PiN_Code,0)),0,
(INDEX(PiN_Threshold,MATCH(E$4,PiN_Code,0))-INDEX(INDIRECT(E$4),MATCH($D26,IN_Admin2,0)))*INDEX(Population,MATCH($D26,Pop_Admin2,0))),
IF(INDEX(Measure,MATCH(E$4,PiN_Code,0))="Number",
IF(INDEX(INDIRECT(E$4),MATCH($D26,IN_Admin2,0))&gt;INDEX(Population,MATCH($D26,Pop_Admin2,0)),INDEX(Population,MATCH($D26,Pop_Admin2,0)),
INDEX(INDIRECT(E$4),MATCH($D26,IN_Admin2,0))),
IF(INDEX(Measure, MATCH(E$4, PiN_Code,0))="Propotion-Total",
INDEX(Population,MATCH($D26,Pop_Admin2,0))*INDEX(INDIRECT(E$4),MATCH($D26,IN_Admin2,0)),"CHECK")))))</f>
        <v>0</v>
      </c>
      <c r="F26" s="76">
        <f t="shared" ca="1" si="20"/>
        <v>0</v>
      </c>
      <c r="G26" s="76">
        <f t="shared" ca="1" si="20"/>
        <v>0</v>
      </c>
      <c r="H26" s="76">
        <f t="shared" ca="1" si="20"/>
        <v>4927.7600000000011</v>
      </c>
      <c r="I26" s="76">
        <f t="shared" ca="1" si="20"/>
        <v>0</v>
      </c>
      <c r="J26" s="76">
        <f t="shared" ca="1" si="20"/>
        <v>0</v>
      </c>
      <c r="K26" s="76">
        <f t="shared" ca="1" si="20"/>
        <v>0</v>
      </c>
      <c r="L26" s="76">
        <f t="shared" ca="1" si="20"/>
        <v>6358.4000000000005</v>
      </c>
      <c r="M26" s="41"/>
      <c r="N26" s="76">
        <f t="shared" ref="N26:R45" ca="1" si="21">IF(INDEX(INDIRECT(N$4),MATCH($D26,IN_Admin2,0))="","",
IF(INDEX(Measure,MATCH(N$4,PiN_Code,0))="Per",
IF(INDEX(Population,MATCH($D26,Admin2,0))-
((INDEX(INDIRECT(N$4),MATCH($D26, Admin2,0)) / INDEX(PiN_Threshold,MATCH(N$4,PiN_Code,0)))*
INDEX(PiN_Per, MATCH(N$4, PiN_Code,0)))&lt;=0,0,
INDEX(Population,MATCH($D26,Admin2,0))-
((INDEX(INDIRECT(N$4),MATCH($D26, Admin2,0))/INDEX(PiN_Threshold,MATCH(N$4,PiN_Code,0)))*
INDEX(PiN_Per, MATCH(N$4, PiN_Code,0)))),
IF(INDEX(Measure,MATCH(N$4,PiN_Code,0))="Proportion",
IF(INDEX(INDIRECT(N$4),MATCH($D26,IN_Admin2,0))&gt;INDEX(PiN_Threshold,MATCH(N$4,PiN_Code,0)),0,
(INDEX(PiN_Threshold,MATCH(N$4,PiN_Code,0))-INDEX(INDIRECT(N$4),MATCH($D26,IN_Admin2,0)))*INDEX(Population,MATCH($D26,Pop_Admin2,0))),
IF(INDEX(Measure,MATCH(N$4,PiN_Code,0))="Number",
IF(INDEX(INDIRECT(N$4),MATCH($D26,IN_Admin2,0))&gt;INDEX(Population,MATCH($D26,Pop_Admin2,0)),INDEX(Population,MATCH($D26,Pop_Admin2,0)),
INDEX(INDIRECT(N$4),MATCH($D26,IN_Admin2,0))),
IF(INDEX(Measure, MATCH(N$4, PiN_Code,0))="Propotion-Total",
INDEX(Population,MATCH($D26,Pop_Admin2,0))*INDEX(INDIRECT(N$4),MATCH($D26,IN_Admin2,0)),"CHECK")))))</f>
        <v>1748.56</v>
      </c>
      <c r="O26" s="76">
        <f t="shared" ca="1" si="21"/>
        <v>1271.6800000000012</v>
      </c>
      <c r="P26" s="76">
        <f t="shared" ca="1" si="21"/>
        <v>0</v>
      </c>
      <c r="Q26" s="76">
        <f t="shared" ca="1" si="21"/>
        <v>12398.880000000001</v>
      </c>
      <c r="R26" s="76">
        <f t="shared" ca="1" si="21"/>
        <v>11922</v>
      </c>
      <c r="S26" s="41"/>
      <c r="T26" s="76">
        <f t="shared" ca="1" si="13"/>
        <v>7840</v>
      </c>
      <c r="U26" s="76">
        <f t="shared" ref="U26:U61" ca="1" si="22">IF(INDEX(INDIRECT(U$4),MATCH($D26,IN_Admin2,0))="","",
IF(INDEX(Measure,MATCH(U$4,PiN_Code,0))="Per",
IF(INDEX(Population,MATCH($D26,Admin2,0))-
((INDEX(INDIRECT(U$4),MATCH($D26, Admin2,0)) / INDEX(PiN_Threshold,MATCH(U$4,PiN_Code,0)))*
INDEX(PiN_Per, MATCH(U$4, PiN_Code,0)))&lt;=0,0,
INDEX(Population,MATCH($D26,Admin2,0))-
((INDEX(INDIRECT(U$4),MATCH($D26, Admin2,0))/INDEX(PiN_Threshold,MATCH(U$4,PiN_Code,0)))*
INDEX(PiN_Per, MATCH(U$4, PiN_Code,0)))),
IF(INDEX(Measure,MATCH(U$4,PiN_Code,0))="Proportion",
IF(INDEX(INDIRECT(U$4),MATCH($D26,IN_Admin2,0))&gt;INDEX(PiN_Threshold,MATCH(U$4,PiN_Code,0)),0,
(INDEX(PiN_Threshold,MATCH(U$4,PiN_Code,0))-INDEX(INDIRECT(U$4),MATCH($D26,IN_Admin2,0)))*INDEX(Population,MATCH($D26,Pop_Admin2,0))),
IF(INDEX(Measure,MATCH(U$4,PiN_Code,0))="Number",
IF(INDEX(INDIRECT(U$4),MATCH($D26,IN_Admin2,0))&gt;INDEX(Population,MATCH($D26,Pop_Admin2,0)),INDEX(Population,MATCH($D26,Pop_Admin2,0)),
INDEX(INDIRECT(U$4),MATCH($D26,IN_Admin2,0))),
IF(INDEX(Measure, MATCH(U$4, PiN_Code,0))="Propotion-Total",
INDEX(Population,MATCH($D26,Pop_Admin2,0))*INDEX(INDIRECT(U$4),MATCH($D26,IN_Admin2,0)),"CHECK")))))</f>
        <v>2311</v>
      </c>
      <c r="V26" s="40"/>
      <c r="W26" s="77">
        <f t="shared" ca="1" si="17"/>
        <v>5</v>
      </c>
      <c r="X26" s="77">
        <f t="shared" ca="1" si="18"/>
        <v>1</v>
      </c>
      <c r="Y26" s="77">
        <f t="shared" ca="1" si="18"/>
        <v>1</v>
      </c>
      <c r="Z26" s="77">
        <f t="shared" ca="1" si="18"/>
        <v>1</v>
      </c>
      <c r="AA26" s="41"/>
      <c r="AB26" s="77">
        <f t="shared" ref="AB26:AI61" ca="1" si="23">IF(INDEX(INDIRECT(AB$4),MATCH($D26,IN_Admin2,0))="","",
IF(AND(INDEX(Logical_Operator,MATCH(AB$4,PiN_Code,0))="&lt;",INDEX(EndFormula,MATCH(AB$4,PiN_Code,0))="Severity 1"),
IF(INDEX(INDIRECT(AB$4),MATCH($D26,IN_Admin2,0))&lt;INDEX(Severity_5,MATCH(AB$4,PiN_Code,0)),5,
IF(INDEX(INDIRECT(AB$4),MATCH($D26,IN_Admin2,0))&lt;INDEX(Severity_4,MATCH(AB$4,PiN_Code,0)),4,
IF(INDEX(INDIRECT(AB$4),MATCH($D26,IN_Admin2,0))&lt;INDEX(Severity_3,MATCH(AB$4,PiN_Code,0)),3,
IF(INDEX(INDIRECT(AB$4),MATCH($D26,IN_Admin2,0))&lt;INDEX(Severity_2,MATCH(AB$4,PiN_Code,0)),2,1)))),
IF(AND(INDEX(Logical_Operator,MATCH(AB$4,PiN_Code,0))="&lt;",INDEX(EndFormula,MATCH(AB$4,PiN_Code,0))="Severity 1 &amp; 2"),
IF(INDEX(INDIRECT(AB$4),MATCH($D26,IN_Admin2,0))&lt;INDEX(Severity_5,MATCH(AB$4,PiN_Code,0)),5,
IF(INDEX(INDIRECT(AB$4),MATCH($D26,IN_Admin2,0))&lt;INDEX(Severity_4,MATCH(AB$4,PiN_Code,0)),4,
IF(INDEX(INDIRECT(AB$4),MATCH($D26,IN_Admin2,0))&lt;INDEX(Severity_3,MATCH(AB$4,PiN_Code,0)),3,1))),
IF(AND(INDEX(Logical_Operator,MATCH(AB$4,PiN_Code,0))="&lt;",INDEX(EndFormula,MATCH(AB$4,PiN_Code,0))="Severity 5, no 2"),
IF(INDEX(INDIRECT(AB$4),MATCH($D26,IN_Admin2,0))&lt;INDEX(Severity_1,MATCH(AB$4,PiN_Code,0)),1,
IF(INDEX(INDIRECT(AB$4),MATCH($D26,IN_Admin2,0))&lt;INDEX(Severity_3,MATCH(AB$4,PiN_Code,0)),3,
IF(INDEX(INDIRECT(AB$4),MATCH($D26,IN_Admin2,0))&lt;INDEX(Severity_4,MATCH(AB$4,PiN_Code,0)),4,5))),
IF(AND(INDEX(Logical_Operator,MATCH(AB$4,PiN_Code,0))="&lt;",INDEX(EndFormula,MATCH(AB$4,PiN_Code,0))="Severity 5"),
IF(INDEX(INDIRECT(AB$4),MATCH($D26,IN_Admin2,0))&lt;INDEX(Severity_1,MATCH(AB$4,PiN_Code,0)),1,
IF(INDEX(INDIRECT(AB$4),MATCH($D26,IN_Admin2,0))&lt;INDEX(Severity_2,MATCH(AB$4,PiN_Code,0)),2,
IF(INDEX(INDIRECT(AB$4),MATCH($D26,IN_Admin2,0))&lt;INDEX(Severity_3,MATCH(AB$4,PiN_Code,0)),3,
IF(INDEX(INDIRECT(AB$4),MATCH($D26,IN_Admin2,0))&lt;INDEX(Severity_4,MATCH(AB$4,PiN_Code,0)),4,5)))),
IF(AND(INDEX(Logical_Operator,MATCH(AB$4,PiN_Code,0))="&lt;=",INDEX(EndFormula,MATCH(AB$4,PiN_Code,0))="Severity 1"),
IF(INDEX(INDIRECT(AB$4),MATCH($D26,IN_Admin2,0))&lt;=INDEX(Severity_5,MATCH(AB$4,PiN_Code,0)),5,
IF(INDEX(INDIRECT(AB$4),MATCH($D26,IN_Admin2,0))&lt;=INDEX(Severity_4,MATCH(AB$4,PiN_Code,0)),4,
IF(INDEX(INDIRECT(AB$4),MATCH($D26,IN_Admin2,0))&lt;=INDEX(Severity_3,MATCH(AB$4,PiN_Code,0)),3,
IF(INDEX(INDIRECT(AB$4),MATCH($D26,IN_Admin2,0))&lt;=INDEX(Severity_2,MATCH(AB$4,PiN_Code,0)),2,1)))),
IF(AND(INDEX(Logical_Operator,MATCH(AB$4,PiN_Code,0))="&lt;=",INDEX(EndFormula,MATCH(AB$4,PiN_Code,0))="Severity 1 &amp; 2"),
IF(INDEX(INDIRECT(AB$4),MATCH($D26,IN_Admin2,0))&lt;=INDEX(Severity_5,MATCH(AB$4,PiN_Code,0)),5,
IF(INDEX(INDIRECT(AB$4),MATCH($D26,IN_Admin2,0))&lt;=INDEX(Severity_4,MATCH(AB$4,PiN_Code,0)),4,
IF(INDEX(INDIRECT(AB$4),MATCH($D26,IN_Admin2,0))&lt;=INDEX(Severity_3,MATCH(AB$4,PiN_Code,0)),3,1))),
IF(AND(INDEX(Logical_Operator,MATCH(AB$4,PiN_Code,0))="&lt;=",INDEX(EndFormula,MATCH(AB$4,PiN_Code,0))="Severity 5, no 2"),
IF(INDEX(INDIRECT(AB$4),MATCH($D26,IN_Admin2,0))&lt;=INDEX(Severity_1,MATCH(AB$4,PiN_Code,0)),1,
IF(INDEX(INDIRECT(AB$4),MATCH($D26,IN_Admin2,0))&lt;=INDEX(Severity_3,MATCH(AB$4,PiN_Code,0)),3,
IF(INDEX(INDIRECT(AB$4),MATCH($D26,IN_Admin2,0))&lt;=INDEX(Severity_4,MATCH(AB$4,PiN_Code,0)),4,5))),
IF(AND(INDEX(Logical_Operator,MATCH(AB$4,PiN_Code,0))="&lt;=",INDEX(EndFormula,MATCH(AB$4,PiN_Code,0))="Severity 5"),
IF(INDEX(INDIRECT(AB$4),MATCH($D26,IN_Admin2,0))&lt;=INDEX(Severity_1,MATCH(AB$4,PiN_Code,0)),1,
IF(INDEX(INDIRECT(AB$4),MATCH($D26,IN_Admin2,0))&lt;=INDEX(Severity_2,MATCH(AB$4,PiN_Code,0)),2,
IF(INDEX(INDIRECT(AB$4),MATCH($D26,IN_Admin2,0))&lt;=INDEX(Severity_3,MATCH(AB$4,PiN_Code,0)),3,
IF(INDEX(INDIRECT(AB$4),MATCH($D26,IN_Admin2,0))&lt;=INDEX(Severity_4,MATCH(AB$4,PiN_Code,0)),4,5)))),
IF(AND(INDEX(Logical_Operator,MATCH(AB$4,PiN_Code,0))="&gt;=",INDEX(EndFormula,MATCH(AB$4,PiN_Code,0))="Severity 1"),
IF(INDEX(INDIRECT(AB$4),MATCH($D26,IN_Admin2,0))&gt;=INDEX(Severity_5,MATCH(AB$4,PiN_Code,0)),5,
IF(INDEX(INDIRECT(AB$4),MATCH($D26,IN_Admin2,0))&gt;=INDEX(Severity_4,MATCH(AB$4,PiN_Code,0)),4,
IF(INDEX(INDIRECT(AB$4),MATCH($D26,IN_Admin2,0))&gt;=INDEX(Severity_3,MATCH(AB$4,PiN_Code,0)),3,
IF(INDEX(INDIRECT(AB$4),MATCH($D26,IN_Admin2,0))&gt;=INDEX(Severity_2,MATCH(AB$4,PiN_Code,0)),2,1)))),
IF(AND(INDEX(Logical_Operator,MATCH(AB$4,PiN_Code,0))="&gt;=",INDEX(EndFormula,MATCH(AB$4,PiN_Code,0))="Severity 1 &amp; 2"),
IF(INDEX(INDIRECT(AB$4),MATCH($D26,IN_Admin2,0))&gt;=INDEX(Severity_5,MATCH(AB$4,PiN_Code,0)),5,
IF(INDEX(INDIRECT(AB$4),MATCH($D26,IN_Admin2,0))&gt;=INDEX(Severity_4,MATCH(AB$4,PiN_Code,0)),4,
IF(INDEX(INDIRECT(AB$4),MATCH($D26,IN_Admin2,0))&gt;=INDEX(Severity_3,MATCH(AB$4,PiN_Code,0)),3,1))),
IF(AND(INDEX(Logical_Operator,MATCH(AB$4,PiN_Code,0))="&gt;=",INDEX(EndFormula,MATCH(AB$4,PiN_Code,0))="Severity 5, no 2"),
IF(INDEX(INDIRECT(AB$4),MATCH($D26,IN_Admin2,0))&gt;=INDEX(Severity_1,MATCH(AB$4,PiN_Code,0)),1,
IF(INDEX(INDIRECT(AB$4),MATCH($D26,IN_Admin2,0))&gt;=INDEX(Severity_3,MATCH(AB$4,PiN_Code,0)),3,
IF(INDEX(INDIRECT(AB$4),MATCH($D26,IN_Admin2,0))&gt;=INDEX(Severity_4,MATCH(AB$4,PiN_Code,0)),4,5))),
IF(AND(INDEX(Logical_Operator,MATCH(AB$4,PiN_Code,0))="&gt;=",INDEX(EndFormula,MATCH(AB$4,PiN_Code,0))="Severity 5"),
IF(INDEX(INDIRECT(AB$4),MATCH($D26,IN_Admin2,0))&gt;=INDEX(Severity_1,MATCH(AB$4,PiN_Code,0)),1,
IF(INDEX(INDIRECT(AB$4),MATCH($D26,IN_Admin2,0))&gt;=INDEX(Severity_2,MATCH(AB$4,PiN_Code,0)),2,
IF(INDEX(INDIRECT(AB$4),MATCH($D26,IN_Admin2,0))&gt;=INDEX(Severity_3,MATCH(AB$4,PiN_Code,0)),3,
IF(INDEX(INDIRECT(AB$4),MATCH($D26,IN_Admin2,0))&gt;=INDEX(Severity_4,MATCH(AB$4,PiN_Code,0)),4,5)))),
IF(AND(INDEX(Logical_Operator,MATCH(AB$4,PiN_Code,0))="&gt;",INDEX(EndFormula,MATCH(AB$4,PiN_Code,0))="Severity 1"),
IF(INDEX(INDIRECT(AB$4),MATCH($D26,IN_Admin2,0))&gt;INDEX(Severity_5,MATCH(AB$4,PiN_Code,0)),5,
IF(INDEX(INDIRECT(AB$4),MATCH($D26,IN_Admin2,0))&gt;INDEX(Severity_4,MATCH(AB$4,PiN_Code,0)),4,
IF(INDEX(INDIRECT(AB$4),MATCH($D26,IN_Admin2,0))&gt;INDEX(Severity_3,MATCH(AB$4,PiN_Code,0)),3,
IF(INDEX(INDIRECT(AB$4),MATCH($D26,IN_Admin2,0))&gt;INDEX(Severity_2,MATCH(AB$4,PiN_Code,0)),2,1)))),
IF(AND(INDEX(Logical_Operator,MATCH(AB$4,PiN_Code,0))="&gt;",INDEX(EndFormula,MATCH(AB$4,PiN_Code,0))="Severity 1 &amp; 2"),
IF(INDEX(INDIRECT(AB$4),MATCH($D26,IN_Admin2,0))&gt;INDEX(Severity_5,MATCH(AB$4,PiN_Code,0)),5,
IF(INDEX(INDIRECT(AB$4),MATCH($D26,IN_Admin2,0))&gt;INDEX(Severity_4,MATCH(AB$4,PiN_Code,0)),4,
IF(INDEX(INDIRECT(AB$4),MATCH($D26,IN_Admin2,0))&gt;INDEX(Severity_3,MATCH(AB$4,PiN_Code,0)),3,1))),
IF(AND(INDEX(Logical_Operator,MATCH(AB$4,PiN_Code,0))="&gt;",INDEX(EndFormula,MATCH(AB$4,PiN_Code,0))="Severity 5, no 2"),
IF(INDEX(INDIRECT(AB$4),MATCH($D26,IN_Admin2,0))&gt;INDEX(Severity_1,MATCH(AB$4,PiN_Code,0)),1,
IF(INDEX(INDIRECT(AB$4),MATCH($D26,IN_Admin2,0))&gt;INDEX(Severity_3,MATCH(AB$4,PiN_Code,0)),3,
IF(INDEX(INDIRECT(AB$4),MATCH($D26,IN_Admin2,0))&gt;INDEX(Severity_4,MATCH(AB$4,PiN_Code,0)),4,5))),
IF(AND(INDEX(Logical_Operator,MATCH(AB$4,PiN_Code,0))="&gt;",INDEX(EndFormula,MATCH(AB$4,PiN_Code,0))="Severity 5"),
IF(INDEX(INDIRECT(AB$4),MATCH($D26,IN_Admin2,0))&gt;INDEX(Severity_1,MATCH(AB$4,PiN_Code,0)),1,
IF(INDEX(INDIRECT(AB$4),MATCH($D26,IN_Admin2,0))&gt;INDEX(Severity_2,MATCH(AB$4,PiN_Code,0)),2,
IF(INDEX(INDIRECT(AB$4),MATCH($D26,IN_Admin2,0))&gt;INDEX(Severity_3,MATCH(AB$4,PiN_Code,0)),3,
IF(INDEX(INDIRECT(AB$4),MATCH($D26,IN_Admin2,0))&gt;INDEX(Severity_4,MATCH(AB$4,PiN_Code,0)),4,5)))),
IF(AND(INDEX(Logical_Operator,MATCH(AB$4,PiN_Code,0))="=",INDEX(EndFormula,MATCH(AB$4,PiN_Code,0))="Severity 1"),
IF(INDEX(INDIRECT(AB$4),MATCH($D26,IN_Admin2,0))=INDEX(Severity_5,MATCH(AB$4,PiN_Code,0)),5,
IF(INDEX(INDIRECT(AB$4),MATCH($D26,IN_Admin2,0))=INDEX(Severity_4,MATCH(AB$4,PiN_Code,0)),4,
IF(INDEX(INDIRECT(AB$4),MATCH($D26,IN_Admin2,0))=INDEX(Severity_3,MATCH(AB$4,PiN_Code,0)),3,
IF(INDEX(INDIRECT(AB$4),MATCH($D26,IN_Admin2,0))=INDEX(Severity_2,MATCH(AB$4,PiN_Code,0)),2,1)))),
IF(INDEX(Logical_Operator,MATCH(AB$4,PiN_Code,0))="=",
INDEX(INDIRECT(AB$4),MATCH($D26,IN_Admin2,0)))))))))))))))))))))</f>
        <v>1</v>
      </c>
      <c r="AC26" s="77">
        <f t="shared" ca="1" si="23"/>
        <v>5</v>
      </c>
      <c r="AD26" s="77">
        <f t="shared" ref="AD26:AD61" ca="1" si="24">IF(INDEX(INDIRECT(AD$4),MATCH($D26,IN_Admin2,0))="","",
IF(AND(INDEX(Logical_Operator,MATCH(AD$4,PiN_Code,0))="&lt;",INDEX(EndFormula,MATCH(AD$4,PiN_Code,0))="Severity 1"),
IF(INDEX(INDIRECT(AD$4),MATCH($D26,IN_Admin2,0))&lt;INDEX(Severity_5,MATCH(AD$4,PiN_Code,0)),5,
IF(INDEX(INDIRECT(AD$4),MATCH($D26,IN_Admin2,0))&lt;INDEX(Severity_4,MATCH(AD$4,PiN_Code,0)),4,
IF(INDEX(INDIRECT(AD$4),MATCH($D26,IN_Admin2,0))&lt;INDEX(Severity_3,MATCH(AD$4,PiN_Code,0)),3,
IF(INDEX(INDIRECT(AD$4),MATCH($D26,IN_Admin2,0))&lt;INDEX(Severity_2,MATCH(AD$4,PiN_Code,0)),2,1)))),
IF(AND(INDEX(Logical_Operator,MATCH(AD$4,PiN_Code,0))="&lt;",INDEX(EndFormula,MATCH(AD$4,PiN_Code,0))="Severity 1 &amp; 2"),
IF(INDEX(INDIRECT(AD$4),MATCH($D26,IN_Admin2,0))&lt;INDEX(Severity_5,MATCH(AD$4,PiN_Code,0)),5,
IF(INDEX(INDIRECT(AD$4),MATCH($D26,IN_Admin2,0))&lt;INDEX(Severity_4,MATCH(AD$4,PiN_Code,0)),4,
IF(INDEX(INDIRECT(AD$4),MATCH($D26,IN_Admin2,0))&lt;INDEX(Severity_3,MATCH(AD$4,PiN_Code,0)),3,1))),
IF(AND(INDEX(Logical_Operator,MATCH(AD$4,PiN_Code,0))="&lt;",INDEX(EndFormula,MATCH(AD$4,PiN_Code,0))="Severity 5, no 2"),
IF(INDEX(INDIRECT(AD$4),MATCH($D26,IN_Admin2,0))&lt;INDEX(Severity_1,MATCH(AD$4,PiN_Code,0)),1,
IF(INDEX(INDIRECT(AD$4),MATCH($D26,IN_Admin2,0))&lt;INDEX(Severity_3,MATCH(AD$4,PiN_Code,0)),3,
IF(INDEX(INDIRECT(AD$4),MATCH($D26,IN_Admin2,0))&lt;INDEX(Severity_4,MATCH(AD$4,PiN_Code,0)),4,5))),
IF(AND(INDEX(Logical_Operator,MATCH(AD$4,PiN_Code,0))="&lt;",INDEX(EndFormula,MATCH(AD$4,PiN_Code,0))="Severity 5"),
IF(INDEX(INDIRECT(AD$4),MATCH($D26,IN_Admin2,0))&lt;INDEX(Severity_1,MATCH(AD$4,PiN_Code,0)),1,
IF(INDEX(INDIRECT(AD$4),MATCH($D26,IN_Admin2,0))&lt;INDEX(Severity_2,MATCH(AD$4,PiN_Code,0)),2,
IF(INDEX(INDIRECT(AD$4),MATCH($D26,IN_Admin2,0))&lt;INDEX(Severity_3,MATCH(AD$4,PiN_Code,0)),3,
IF(INDEX(INDIRECT(AD$4),MATCH($D26,IN_Admin2,0))&lt;INDEX(Severity_4,MATCH(AD$4,PiN_Code,0)),4,5)))),
IF(AND(INDEX(Logical_Operator,MATCH(AD$4,PiN_Code,0))="&lt;=",INDEX(EndFormula,MATCH(AD$4,PiN_Code,0))="Severity 1"),
IF(INDEX(INDIRECT(AD$4),MATCH($D26,IN_Admin2,0))&lt;=INDEX(Severity_5,MATCH(AD$4,PiN_Code,0)),5,
IF(INDEX(INDIRECT(AD$4),MATCH($D26,IN_Admin2,0))&lt;=INDEX(Severity_4,MATCH(AD$4,PiN_Code,0)),4,
IF(INDEX(INDIRECT(AD$4),MATCH($D26,IN_Admin2,0))&lt;=INDEX(Severity_3,MATCH(AD$4,PiN_Code,0)),3,
IF(INDEX(INDIRECT(AD$4),MATCH($D26,IN_Admin2,0))&lt;=INDEX(Severity_2,MATCH(AD$4,PiN_Code,0)),2,1)))),
IF(AND(INDEX(Logical_Operator,MATCH(AD$4,PiN_Code,0))="&lt;=",INDEX(EndFormula,MATCH(AD$4,PiN_Code,0))="Severity 1 &amp; 2"),
IF(INDEX(INDIRECT(AD$4),MATCH($D26,IN_Admin2,0))&lt;=INDEX(Severity_5,MATCH(AD$4,PiN_Code,0)),5,
IF(INDEX(INDIRECT(AD$4),MATCH($D26,IN_Admin2,0))&lt;=INDEX(Severity_4,MATCH(AD$4,PiN_Code,0)),4,
IF(INDEX(INDIRECT(AD$4),MATCH($D26,IN_Admin2,0))&lt;=INDEX(Severity_3,MATCH(AD$4,PiN_Code,0)),3,1))),
IF(AND(INDEX(Logical_Operator,MATCH(AD$4,PiN_Code,0))="&lt;=",INDEX(EndFormula,MATCH(AD$4,PiN_Code,0))="Severity 5, no 2"),
IF(INDEX(INDIRECT(AD$4),MATCH($D26,IN_Admin2,0))&lt;=INDEX(Severity_1,MATCH(AD$4,PiN_Code,0)),1,
IF(INDEX(INDIRECT(AD$4),MATCH($D26,IN_Admin2,0))&lt;=INDEX(Severity_3,MATCH(AD$4,PiN_Code,0)),3,
IF(INDEX(INDIRECT(AD$4),MATCH($D26,IN_Admin2,0))&lt;=INDEX(Severity_4,MATCH(AD$4,PiN_Code,0)),4,5))),
IF(AND(INDEX(Logical_Operator,MATCH(AD$4,PiN_Code,0))="&lt;=",INDEX(EndFormula,MATCH(AD$4,PiN_Code,0))="Severity 5"),
IF(INDEX(INDIRECT(AD$4),MATCH($D26,IN_Admin2,0))&lt;=INDEX(Severity_1,MATCH(AD$4,PiN_Code,0)),1,
IF(INDEX(INDIRECT(AD$4),MATCH($D26,IN_Admin2,0))&lt;=INDEX(Severity_2,MATCH(AD$4,PiN_Code,0)),2,
IF(INDEX(INDIRECT(AD$4),MATCH($D26,IN_Admin2,0))&lt;=INDEX(Severity_3,MATCH(AD$4,PiN_Code,0)),3,
IF(INDEX(INDIRECT(AD$4),MATCH($D26,IN_Admin2,0))&lt;=INDEX(Severity_4,MATCH(AD$4,PiN_Code,0)),4,5)))),
IF(AND(INDEX(Logical_Operator,MATCH(AD$4,PiN_Code,0))="&gt;=",INDEX(EndFormula,MATCH(AD$4,PiN_Code,0))="Severity 1"),
IF(INDEX(INDIRECT(AD$4),MATCH($D26,IN_Admin2,0))&gt;=INDEX(Severity_5,MATCH(AD$4,PiN_Code,0)),5,
IF(INDEX(INDIRECT(AD$4),MATCH($D26,IN_Admin2,0))&gt;=INDEX(Severity_4,MATCH(AD$4,PiN_Code,0)),4,
IF(INDEX(INDIRECT(AD$4),MATCH($D26,IN_Admin2,0))&gt;=INDEX(Severity_3,MATCH(AD$4,PiN_Code,0)),3,
IF(INDEX(INDIRECT(AD$4),MATCH($D26,IN_Admin2,0))&gt;=INDEX(Severity_2,MATCH(AD$4,PiN_Code,0)),2,1)))),
IF(AND(INDEX(Logical_Operator,MATCH(AD$4,PiN_Code,0))="&gt;=",INDEX(EndFormula,MATCH(AD$4,PiN_Code,0))="Severity 1 &amp; 2"),
IF(INDEX(INDIRECT(AD$4),MATCH($D26,IN_Admin2,0))&gt;=INDEX(Severity_5,MATCH(AD$4,PiN_Code,0)),5,
IF(INDEX(INDIRECT(AD$4),MATCH($D26,IN_Admin2,0))&gt;=INDEX(Severity_4,MATCH(AD$4,PiN_Code,0)),4,
IF(INDEX(INDIRECT(AD$4),MATCH($D26,IN_Admin2,0))&gt;=INDEX(Severity_3,MATCH(AD$4,PiN_Code,0)),3,1))),
IF(AND(INDEX(Logical_Operator,MATCH(AD$4,PiN_Code,0))="&gt;=",INDEX(EndFormula,MATCH(AD$4,PiN_Code,0))="Severity 5, no 2"),
IF(INDEX(INDIRECT(AD$4),MATCH($D26,IN_Admin2,0))&gt;=INDEX(Severity_1,MATCH(AD$4,PiN_Code,0)),1,
IF(INDEX(INDIRECT(AD$4),MATCH($D26,IN_Admin2,0))&gt;=INDEX(Severity_3,MATCH(AD$4,PiN_Code,0)),3,
IF(INDEX(INDIRECT(AD$4),MATCH($D26,IN_Admin2,0))&gt;=INDEX(Severity_4,MATCH(AD$4,PiN_Code,0)),4,5))),
IF(AND(INDEX(Logical_Operator,MATCH(AD$4,PiN_Code,0))="&gt;=",INDEX(EndFormula,MATCH(AD$4,PiN_Code,0))="Severity 5"),
IF(INDEX(INDIRECT(AD$4),MATCH($D26,IN_Admin2,0))&gt;=INDEX(Severity_1,MATCH(AD$4,PiN_Code,0)),1,
IF(INDEX(INDIRECT(AD$4),MATCH($D26,IN_Admin2,0))&gt;=INDEX(Severity_2,MATCH(AD$4,PiN_Code,0)),2,
IF(INDEX(INDIRECT(AD$4),MATCH($D26,IN_Admin2,0))&gt;=INDEX(Severity_3,MATCH(AD$4,PiN_Code,0)),3,
IF(INDEX(INDIRECT(AD$4),MATCH($D26,IN_Admin2,0))&gt;=INDEX(Severity_4,MATCH(AD$4,PiN_Code,0)),4,5)))),
IF(AND(INDEX(Logical_Operator,MATCH(AD$4,PiN_Code,0))="&gt;",INDEX(EndFormula,MATCH(AD$4,PiN_Code,0))="Severity 1"),
IF(INDEX(INDIRECT(AD$4),MATCH($D26,IN_Admin2,0))&gt;INDEX(Severity_5,MATCH(AD$4,PiN_Code,0)),5,
IF(INDEX(INDIRECT(AD$4),MATCH($D26,IN_Admin2,0))&gt;INDEX(Severity_4,MATCH(AD$4,PiN_Code,0)),4,
IF(INDEX(INDIRECT(AD$4),MATCH($D26,IN_Admin2,0))&gt;INDEX(Severity_3,MATCH(AD$4,PiN_Code,0)),3,
IF(INDEX(INDIRECT(AD$4),MATCH($D26,IN_Admin2,0))&gt;INDEX(Severity_2,MATCH(AD$4,PiN_Code,0)),2,1)))),
IF(AND(INDEX(Logical_Operator,MATCH(AD$4,PiN_Code,0))="&gt;",INDEX(EndFormula,MATCH(AD$4,PiN_Code,0))="Severity 1 &amp; 2"),
IF(INDEX(INDIRECT(AD$4),MATCH($D26,IN_Admin2,0))&gt;INDEX(Severity_5,MATCH(AD$4,PiN_Code,0)),5,
IF(INDEX(INDIRECT(AD$4),MATCH($D26,IN_Admin2,0))&gt;INDEX(Severity_4,MATCH(AD$4,PiN_Code,0)),4,
IF(INDEX(INDIRECT(AD$4),MATCH($D26,IN_Admin2,0))&gt;INDEX(Severity_3,MATCH(AD$4,PiN_Code,0)),3,1))),
IF(AND(INDEX(Logical_Operator,MATCH(AD$4,PiN_Code,0))="&gt;",INDEX(EndFormula,MATCH(AD$4,PiN_Code,0))="Severity 5, no 2"),
IF(INDEX(INDIRECT(AD$4),MATCH($D26,IN_Admin2,0))&gt;INDEX(Severity_1,MATCH(AD$4,PiN_Code,0)),1,
IF(INDEX(INDIRECT(AD$4),MATCH($D26,IN_Admin2,0))&gt;INDEX(Severity_3,MATCH(AD$4,PiN_Code,0)),3,
IF(INDEX(INDIRECT(AD$4),MATCH($D26,IN_Admin2,0))&gt;INDEX(Severity_4,MATCH(AD$4,PiN_Code,0)),4,5))),
IF(AND(INDEX(Logical_Operator,MATCH(AD$4,PiN_Code,0))="&gt;",INDEX(EndFormula,MATCH(AD$4,PiN_Code,0))="Severity 5"),
IF(INDEX(INDIRECT(AD$4),MATCH($D26,IN_Admin2,0))&gt;INDEX(Severity_1,MATCH(AD$4,PiN_Code,0)),1,
IF(INDEX(INDIRECT(AD$4),MATCH($D26,IN_Admin2,0))&gt;INDEX(Severity_2,MATCH(AD$4,PiN_Code,0)),2,
IF(INDEX(INDIRECT(AD$4),MATCH($D26,IN_Admin2,0))&gt;INDEX(Severity_3,MATCH(AD$4,PiN_Code,0)),3,
IF(INDEX(INDIRECT(AD$4),MATCH($D26,IN_Admin2,0))&gt;INDEX(Severity_4,MATCH(AD$4,PiN_Code,0)),4,5)))),
IF(AND(INDEX(Logical_Operator,MATCH(AD$4,PiN_Code,0))="=",INDEX(EndFormula,MATCH(AD$4,PiN_Code,0))="Severity 1"),
IF(INDEX(INDIRECT(AD$4),MATCH($D26,IN_Admin2,0))=INDEX(Severity_5,MATCH(AD$4,PiN_Code,0)),5,
IF(INDEX(INDIRECT(AD$4),MATCH($D26,IN_Admin2,0))=INDEX(Severity_4,MATCH(AD$4,PiN_Code,0)),4,
IF(INDEX(INDIRECT(AD$4),MATCH($D26,IN_Admin2,0))=INDEX(Severity_3,MATCH(AD$4,PiN_Code,0)),3,
IF(INDEX(INDIRECT(AD$4),MATCH($D26,IN_Admin2,0))=INDEX(Severity_2,MATCH(AD$4,PiN_Code,0)),2,1)))),
IF(INDEX(Logical_Operator,MATCH(AD$4,PiN_Code,0))="=",
INDEX(INDIRECT(AD$4),MATCH($D26,IN_Admin2,0)))))))))))))))))))))</f>
        <v>1</v>
      </c>
      <c r="AE26" s="77">
        <f t="shared" ca="1" si="23"/>
        <v>5</v>
      </c>
      <c r="AF26" s="77">
        <f t="shared" ca="1" si="23"/>
        <v>5</v>
      </c>
      <c r="AG26" s="77" t="str">
        <f t="shared" ca="1" si="23"/>
        <v/>
      </c>
      <c r="AH26" s="77" t="str">
        <f t="shared" ca="1" si="23"/>
        <v/>
      </c>
      <c r="AI26" s="77" t="str">
        <f t="shared" ca="1" si="23"/>
        <v/>
      </c>
      <c r="AJ26" s="41"/>
      <c r="AK26" s="77">
        <f t="shared" ref="AK26:AL61" ca="1" si="25">IF(INDEX(INDIRECT(AK$4),MATCH($D26,IN_Admin2,0))="","",
IF(AND(INDEX(Logical_Operator,MATCH(AK$4,PiN_Code,0))="&lt;",INDEX(EndFormula,MATCH(AK$4,PiN_Code,0))="Severity 1"),
IF(INDEX(INDIRECT(AK$4),MATCH($D26,IN_Admin2,0))&lt;INDEX(Severity_5,MATCH(AK$4,PiN_Code,0)),5,
IF(INDEX(INDIRECT(AK$4),MATCH($D26,IN_Admin2,0))&lt;INDEX(Severity_4,MATCH(AK$4,PiN_Code,0)),4,
IF(INDEX(INDIRECT(AK$4),MATCH($D26,IN_Admin2,0))&lt;INDEX(Severity_3,MATCH(AK$4,PiN_Code,0)),3,
IF(INDEX(INDIRECT(AK$4),MATCH($D26,IN_Admin2,0))&lt;INDEX(Severity_2,MATCH(AK$4,PiN_Code,0)),2,1)))),
IF(AND(INDEX(Logical_Operator,MATCH(AK$4,PiN_Code,0))="&lt;",INDEX(EndFormula,MATCH(AK$4,PiN_Code,0))="Severity 1 &amp; 2"),
IF(INDEX(INDIRECT(AK$4),MATCH($D26,IN_Admin2,0))&lt;INDEX(Severity_5,MATCH(AK$4,PiN_Code,0)),5,
IF(INDEX(INDIRECT(AK$4),MATCH($D26,IN_Admin2,0))&lt;INDEX(Severity_4,MATCH(AK$4,PiN_Code,0)),4,
IF(INDEX(INDIRECT(AK$4),MATCH($D26,IN_Admin2,0))&lt;INDEX(Severity_3,MATCH(AK$4,PiN_Code,0)),3,1))),
IF(AND(INDEX(Logical_Operator,MATCH(AK$4,PiN_Code,0))="&lt;",INDEX(EndFormula,MATCH(AK$4,PiN_Code,0))="Severity 5, no 2"),
IF(INDEX(INDIRECT(AK$4),MATCH($D26,IN_Admin2,0))&lt;INDEX(Severity_1,MATCH(AK$4,PiN_Code,0)),1,
IF(INDEX(INDIRECT(AK$4),MATCH($D26,IN_Admin2,0))&lt;INDEX(Severity_3,MATCH(AK$4,PiN_Code,0)),3,
IF(INDEX(INDIRECT(AK$4),MATCH($D26,IN_Admin2,0))&lt;INDEX(Severity_4,MATCH(AK$4,PiN_Code,0)),4,5))),
IF(AND(INDEX(Logical_Operator,MATCH(AK$4,PiN_Code,0))="&lt;",INDEX(EndFormula,MATCH(AK$4,PiN_Code,0))="Severity 5"),
IF(INDEX(INDIRECT(AK$4),MATCH($D26,IN_Admin2,0))&lt;INDEX(Severity_1,MATCH(AK$4,PiN_Code,0)),1,
IF(INDEX(INDIRECT(AK$4),MATCH($D26,IN_Admin2,0))&lt;INDEX(Severity_2,MATCH(AK$4,PiN_Code,0)),2,
IF(INDEX(INDIRECT(AK$4),MATCH($D26,IN_Admin2,0))&lt;INDEX(Severity_3,MATCH(AK$4,PiN_Code,0)),3,
IF(INDEX(INDIRECT(AK$4),MATCH($D26,IN_Admin2,0))&lt;INDEX(Severity_4,MATCH(AK$4,PiN_Code,0)),4,5)))),
IF(AND(INDEX(Logical_Operator,MATCH(AK$4,PiN_Code,0))="&lt;=",INDEX(EndFormula,MATCH(AK$4,PiN_Code,0))="Severity 1"),
IF(INDEX(INDIRECT(AK$4),MATCH($D26,IN_Admin2,0))&lt;=INDEX(Severity_5,MATCH(AK$4,PiN_Code,0)),5,
IF(INDEX(INDIRECT(AK$4),MATCH($D26,IN_Admin2,0))&lt;=INDEX(Severity_4,MATCH(AK$4,PiN_Code,0)),4,
IF(INDEX(INDIRECT(AK$4),MATCH($D26,IN_Admin2,0))&lt;=INDEX(Severity_3,MATCH(AK$4,PiN_Code,0)),3,
IF(INDEX(INDIRECT(AK$4),MATCH($D26,IN_Admin2,0))&lt;=INDEX(Severity_2,MATCH(AK$4,PiN_Code,0)),2,1)))),
IF(AND(INDEX(Logical_Operator,MATCH(AK$4,PiN_Code,0))="&lt;=",INDEX(EndFormula,MATCH(AK$4,PiN_Code,0))="Severity 1 &amp; 2"),
IF(INDEX(INDIRECT(AK$4),MATCH($D26,IN_Admin2,0))&lt;=INDEX(Severity_5,MATCH(AK$4,PiN_Code,0)),5,
IF(INDEX(INDIRECT(AK$4),MATCH($D26,IN_Admin2,0))&lt;=INDEX(Severity_4,MATCH(AK$4,PiN_Code,0)),4,
IF(INDEX(INDIRECT(AK$4),MATCH($D26,IN_Admin2,0))&lt;=INDEX(Severity_3,MATCH(AK$4,PiN_Code,0)),3,1))),
IF(AND(INDEX(Logical_Operator,MATCH(AK$4,PiN_Code,0))="&lt;=",INDEX(EndFormula,MATCH(AK$4,PiN_Code,0))="Severity 5, no 2"),
IF(INDEX(INDIRECT(AK$4),MATCH($D26,IN_Admin2,0))&lt;=INDEX(Severity_1,MATCH(AK$4,PiN_Code,0)),1,
IF(INDEX(INDIRECT(AK$4),MATCH($D26,IN_Admin2,0))&lt;=INDEX(Severity_3,MATCH(AK$4,PiN_Code,0)),3,
IF(INDEX(INDIRECT(AK$4),MATCH($D26,IN_Admin2,0))&lt;=INDEX(Severity_4,MATCH(AK$4,PiN_Code,0)),4,5))),
IF(AND(INDEX(Logical_Operator,MATCH(AK$4,PiN_Code,0))="&lt;=",INDEX(EndFormula,MATCH(AK$4,PiN_Code,0))="Severity 5"),
IF(INDEX(INDIRECT(AK$4),MATCH($D26,IN_Admin2,0))&lt;=INDEX(Severity_1,MATCH(AK$4,PiN_Code,0)),1,
IF(INDEX(INDIRECT(AK$4),MATCH($D26,IN_Admin2,0))&lt;=INDEX(Severity_2,MATCH(AK$4,PiN_Code,0)),2,
IF(INDEX(INDIRECT(AK$4),MATCH($D26,IN_Admin2,0))&lt;=INDEX(Severity_3,MATCH(AK$4,PiN_Code,0)),3,
IF(INDEX(INDIRECT(AK$4),MATCH($D26,IN_Admin2,0))&lt;=INDEX(Severity_4,MATCH(AK$4,PiN_Code,0)),4,5)))),
IF(AND(INDEX(Logical_Operator,MATCH(AK$4,PiN_Code,0))="&gt;=",INDEX(EndFormula,MATCH(AK$4,PiN_Code,0))="Severity 1"),
IF(INDEX(INDIRECT(AK$4),MATCH($D26,IN_Admin2,0))&gt;=INDEX(Severity_5,MATCH(AK$4,PiN_Code,0)),5,
IF(INDEX(INDIRECT(AK$4),MATCH($D26,IN_Admin2,0))&gt;=INDEX(Severity_4,MATCH(AK$4,PiN_Code,0)),4,
IF(INDEX(INDIRECT(AK$4),MATCH($D26,IN_Admin2,0))&gt;=INDEX(Severity_3,MATCH(AK$4,PiN_Code,0)),3,
IF(INDEX(INDIRECT(AK$4),MATCH($D26,IN_Admin2,0))&gt;=INDEX(Severity_2,MATCH(AK$4,PiN_Code,0)),2,1)))),
IF(AND(INDEX(Logical_Operator,MATCH(AK$4,PiN_Code,0))="&gt;=",INDEX(EndFormula,MATCH(AK$4,PiN_Code,0))="Severity 1 &amp; 2"),
IF(INDEX(INDIRECT(AK$4),MATCH($D26,IN_Admin2,0))&gt;=INDEX(Severity_5,MATCH(AK$4,PiN_Code,0)),5,
IF(INDEX(INDIRECT(AK$4),MATCH($D26,IN_Admin2,0))&gt;=INDEX(Severity_4,MATCH(AK$4,PiN_Code,0)),4,
IF(INDEX(INDIRECT(AK$4),MATCH($D26,IN_Admin2,0))&gt;=INDEX(Severity_3,MATCH(AK$4,PiN_Code,0)),3,1))),
IF(AND(INDEX(Logical_Operator,MATCH(AK$4,PiN_Code,0))="&gt;=",INDEX(EndFormula,MATCH(AK$4,PiN_Code,0))="Severity 5, no 2"),
IF(INDEX(INDIRECT(AK$4),MATCH($D26,IN_Admin2,0))&gt;=INDEX(Severity_1,MATCH(AK$4,PiN_Code,0)),1,
IF(INDEX(INDIRECT(AK$4),MATCH($D26,IN_Admin2,0))&gt;=INDEX(Severity_3,MATCH(AK$4,PiN_Code,0)),3,
IF(INDEX(INDIRECT(AK$4),MATCH($D26,IN_Admin2,0))&gt;=INDEX(Severity_4,MATCH(AK$4,PiN_Code,0)),4,5))),
IF(AND(INDEX(Logical_Operator,MATCH(AK$4,PiN_Code,0))="&gt;=",INDEX(EndFormula,MATCH(AK$4,PiN_Code,0))="Severity 5"),
IF(INDEX(INDIRECT(AK$4),MATCH($D26,IN_Admin2,0))&gt;=INDEX(Severity_1,MATCH(AK$4,PiN_Code,0)),1,
IF(INDEX(INDIRECT(AK$4),MATCH($D26,IN_Admin2,0))&gt;=INDEX(Severity_2,MATCH(AK$4,PiN_Code,0)),2,
IF(INDEX(INDIRECT(AK$4),MATCH($D26,IN_Admin2,0))&gt;=INDEX(Severity_3,MATCH(AK$4,PiN_Code,0)),3,
IF(INDEX(INDIRECT(AK$4),MATCH($D26,IN_Admin2,0))&gt;=INDEX(Severity_4,MATCH(AK$4,PiN_Code,0)),4,5)))),
IF(AND(INDEX(Logical_Operator,MATCH(AK$4,PiN_Code,0))="&gt;",INDEX(EndFormula,MATCH(AK$4,PiN_Code,0))="Severity 1"),
IF(INDEX(INDIRECT(AK$4),MATCH($D26,IN_Admin2,0))&gt;INDEX(Severity_5,MATCH(AK$4,PiN_Code,0)),5,
IF(INDEX(INDIRECT(AK$4),MATCH($D26,IN_Admin2,0))&gt;INDEX(Severity_4,MATCH(AK$4,PiN_Code,0)),4,
IF(INDEX(INDIRECT(AK$4),MATCH($D26,IN_Admin2,0))&gt;INDEX(Severity_3,MATCH(AK$4,PiN_Code,0)),3,
IF(INDEX(INDIRECT(AK$4),MATCH($D26,IN_Admin2,0))&gt;INDEX(Severity_2,MATCH(AK$4,PiN_Code,0)),2,1)))),
IF(AND(INDEX(Logical_Operator,MATCH(AK$4,PiN_Code,0))="&gt;",INDEX(EndFormula,MATCH(AK$4,PiN_Code,0))="Severity 1 &amp; 2"),
IF(INDEX(INDIRECT(AK$4),MATCH($D26,IN_Admin2,0))&gt;INDEX(Severity_5,MATCH(AK$4,PiN_Code,0)),5,
IF(INDEX(INDIRECT(AK$4),MATCH($D26,IN_Admin2,0))&gt;INDEX(Severity_4,MATCH(AK$4,PiN_Code,0)),4,
IF(INDEX(INDIRECT(AK$4),MATCH($D26,IN_Admin2,0))&gt;INDEX(Severity_3,MATCH(AK$4,PiN_Code,0)),3,1))),
IF(AND(INDEX(Logical_Operator,MATCH(AK$4,PiN_Code,0))="&gt;",INDEX(EndFormula,MATCH(AK$4,PiN_Code,0))="Severity 5, no 2"),
IF(INDEX(INDIRECT(AK$4),MATCH($D26,IN_Admin2,0))&gt;INDEX(Severity_1,MATCH(AK$4,PiN_Code,0)),1,
IF(INDEX(INDIRECT(AK$4),MATCH($D26,IN_Admin2,0))&gt;INDEX(Severity_3,MATCH(AK$4,PiN_Code,0)),3,
IF(INDEX(INDIRECT(AK$4),MATCH($D26,IN_Admin2,0))&gt;INDEX(Severity_4,MATCH(AK$4,PiN_Code,0)),4,5))),
IF(AND(INDEX(Logical_Operator,MATCH(AK$4,PiN_Code,0))="&gt;",INDEX(EndFormula,MATCH(AK$4,PiN_Code,0))="Severity 5"),
IF(INDEX(INDIRECT(AK$4),MATCH($D26,IN_Admin2,0))&gt;INDEX(Severity_1,MATCH(AK$4,PiN_Code,0)),1,
IF(INDEX(INDIRECT(AK$4),MATCH($D26,IN_Admin2,0))&gt;INDEX(Severity_2,MATCH(AK$4,PiN_Code,0)),2,
IF(INDEX(INDIRECT(AK$4),MATCH($D26,IN_Admin2,0))&gt;INDEX(Severity_3,MATCH(AK$4,PiN_Code,0)),3,
IF(INDEX(INDIRECT(AK$4),MATCH($D26,IN_Admin2,0))&gt;INDEX(Severity_4,MATCH(AK$4,PiN_Code,0)),4,5)))),
IF(AND(INDEX(Logical_Operator,MATCH(AK$4,PiN_Code,0))="=",INDEX(EndFormula,MATCH(AK$4,PiN_Code,0))="Severity 1"),
IF(INDEX(INDIRECT(AK$4),MATCH($D26,IN_Admin2,0))=INDEX(Severity_5,MATCH(AK$4,PiN_Code,0)),5,
IF(INDEX(INDIRECT(AK$4),MATCH($D26,IN_Admin2,0))=INDEX(Severity_4,MATCH(AK$4,PiN_Code,0)),4,
IF(INDEX(INDIRECT(AK$4),MATCH($D26,IN_Admin2,0))=INDEX(Severity_3,MATCH(AK$4,PiN_Code,0)),3,
IF(INDEX(INDIRECT(AK$4),MATCH($D26,IN_Admin2,0))=INDEX(Severity_2,MATCH(AK$4,PiN_Code,0)),2,1)))),
IF(INDEX(Logical_Operator,MATCH(AK$4,PiN_Code,0))="=",
INDEX(INDIRECT(AK$4),MATCH($D26,IN_Admin2,0)))))))))))))))))))))</f>
        <v>3</v>
      </c>
      <c r="AL26" s="77">
        <f t="shared" ca="1" si="25"/>
        <v>3</v>
      </c>
      <c r="AM26" s="80"/>
      <c r="AN26" s="77">
        <f t="shared" ca="1" si="16"/>
        <v>2</v>
      </c>
    </row>
    <row r="27" spans="3:40" x14ac:dyDescent="0.4">
      <c r="C27" s="17" t="str">
        <f>Indicator_Input!$B25</f>
        <v>Gondor</v>
      </c>
      <c r="D27" s="17" t="str">
        <f>Indicator_Input!$C25</f>
        <v>Ithilien</v>
      </c>
      <c r="E27" s="76">
        <f t="shared" ca="1" si="20"/>
        <v>0</v>
      </c>
      <c r="F27" s="76">
        <f t="shared" ca="1" si="20"/>
        <v>0</v>
      </c>
      <c r="G27" s="76">
        <f t="shared" ca="1" si="20"/>
        <v>0</v>
      </c>
      <c r="H27" s="76">
        <f t="shared" ca="1" si="20"/>
        <v>0</v>
      </c>
      <c r="I27" s="76">
        <f t="shared" ca="1" si="20"/>
        <v>0</v>
      </c>
      <c r="J27" s="76">
        <f t="shared" ca="1" si="20"/>
        <v>0</v>
      </c>
      <c r="K27" s="76">
        <f t="shared" ca="1" si="20"/>
        <v>0</v>
      </c>
      <c r="L27" s="76">
        <f t="shared" ca="1" si="20"/>
        <v>4999.4700000000012</v>
      </c>
      <c r="M27" s="41"/>
      <c r="N27" s="76">
        <f t="shared" ca="1" si="21"/>
        <v>7367.64</v>
      </c>
      <c r="O27" s="76">
        <f t="shared" ca="1" si="21"/>
        <v>8946.42</v>
      </c>
      <c r="P27" s="76">
        <f t="shared" ca="1" si="21"/>
        <v>12630.24</v>
      </c>
      <c r="Q27" s="76">
        <f t="shared" ca="1" si="21"/>
        <v>20524.14</v>
      </c>
      <c r="R27" s="76">
        <f t="shared" ca="1" si="21"/>
        <v>18419.099999999999</v>
      </c>
      <c r="S27" s="41"/>
      <c r="T27" s="76">
        <f t="shared" ca="1" si="13"/>
        <v>16709</v>
      </c>
      <c r="U27" s="76">
        <f t="shared" ca="1" si="22"/>
        <v>1388</v>
      </c>
      <c r="V27" s="40"/>
      <c r="W27" s="77">
        <f t="shared" ca="1" si="17"/>
        <v>5</v>
      </c>
      <c r="X27" s="77">
        <f t="shared" ref="X27:Z46" ca="1" si="26">IF(INDEX(INDIRECT(X$4),MATCH($D27,IN_Admin2,0))="","",
IF(AND(INDEX(Logical_Operator,MATCH(X$4,PiN_Code,0))="&lt;",INDEX(EndFormula,MATCH(X$4,PiN_Code,0))="Severity 1"),
IF(INDEX(INDIRECT(X$4),MATCH($D27,IN_Admin2,0))&lt;INDEX(Severity_5,MATCH(X$4,PiN_Code,0)),5,
IF(INDEX(INDIRECT(X$4),MATCH($D27,IN_Admin2,0))&lt;INDEX(Severity_4,MATCH(X$4,PiN_Code,0)),4,
IF(INDEX(INDIRECT(X$4),MATCH($D27,IN_Admin2,0))&lt;INDEX(Severity_3,MATCH(X$4,PiN_Code,0)),3,
IF(INDEX(INDIRECT(X$4),MATCH($D27,IN_Admin2,0))&lt;INDEX(Severity_2,MATCH(X$4,PiN_Code,0)),2,1)))),
IF(AND(INDEX(Logical_Operator,MATCH(X$4,PiN_Code,0))="&lt;",INDEX(EndFormula,MATCH(X$4,PiN_Code,0))="Severity 1 &amp; 2"),
IF(INDEX(INDIRECT(X$4),MATCH($D27,IN_Admin2,0))&lt;INDEX(Severity_5,MATCH(X$4,PiN_Code,0)),5,
IF(INDEX(INDIRECT(X$4),MATCH($D27,IN_Admin2,0))&lt;INDEX(Severity_4,MATCH(X$4,PiN_Code,0)),4,
IF(INDEX(INDIRECT(X$4),MATCH($D27,IN_Admin2,0))&lt;INDEX(Severity_3,MATCH(X$4,PiN_Code,0)),3,1))),
IF(AND(INDEX(Logical_Operator,MATCH(X$4,PiN_Code,0))="&lt;",INDEX(EndFormula,MATCH(X$4,PiN_Code,0))="Severity 5, no 2"),
IF(INDEX(INDIRECT(X$4),MATCH($D27,IN_Admin2,0))&lt;INDEX(Severity_1,MATCH(X$4,PiN_Code,0)),1,
IF(INDEX(INDIRECT(X$4),MATCH($D27,IN_Admin2,0))&lt;INDEX(Severity_3,MATCH(X$4,PiN_Code,0)),3,
IF(INDEX(INDIRECT(X$4),MATCH($D27,IN_Admin2,0))&lt;INDEX(Severity_4,MATCH(X$4,PiN_Code,0)),4,5))),
IF(AND(INDEX(Logical_Operator,MATCH(X$4,PiN_Code,0))="&lt;",INDEX(EndFormula,MATCH(X$4,PiN_Code,0))="Severity 5"),
IF(INDEX(INDIRECT(X$4),MATCH($D27,IN_Admin2,0))&lt;INDEX(Severity_1,MATCH(X$4,PiN_Code,0)),1,
IF(INDEX(INDIRECT(X$4),MATCH($D27,IN_Admin2,0))&lt;INDEX(Severity_2,MATCH(X$4,PiN_Code,0)),2,
IF(INDEX(INDIRECT(X$4),MATCH($D27,IN_Admin2,0))&lt;INDEX(Severity_3,MATCH(X$4,PiN_Code,0)),3,
IF(INDEX(INDIRECT(X$4),MATCH($D27,IN_Admin2,0))&lt;INDEX(Severity_4,MATCH(X$4,PiN_Code,0)),4,5)))),
IF(AND(INDEX(Logical_Operator,MATCH(X$4,PiN_Code,0))="&lt;=",INDEX(EndFormula,MATCH(X$4,PiN_Code,0))="Severity 1"),
IF(INDEX(INDIRECT(X$4),MATCH($D27,IN_Admin2,0))&lt;=INDEX(Severity_5,MATCH(X$4,PiN_Code,0)),5,
IF(INDEX(INDIRECT(X$4),MATCH($D27,IN_Admin2,0))&lt;=INDEX(Severity_4,MATCH(X$4,PiN_Code,0)),4,
IF(INDEX(INDIRECT(X$4),MATCH($D27,IN_Admin2,0))&lt;=INDEX(Severity_3,MATCH(X$4,PiN_Code,0)),3,
IF(INDEX(INDIRECT(X$4),MATCH($D27,IN_Admin2,0))&lt;=INDEX(Severity_2,MATCH(X$4,PiN_Code,0)),2,1)))),
IF(AND(INDEX(Logical_Operator,MATCH(X$4,PiN_Code,0))="&lt;=",INDEX(EndFormula,MATCH(X$4,PiN_Code,0))="Severity 1 &amp; 2"),
IF(INDEX(INDIRECT(X$4),MATCH($D27,IN_Admin2,0))&lt;=INDEX(Severity_5,MATCH(X$4,PiN_Code,0)),5,
IF(INDEX(INDIRECT(X$4),MATCH($D27,IN_Admin2,0))&lt;=INDEX(Severity_4,MATCH(X$4,PiN_Code,0)),4,
IF(INDEX(INDIRECT(X$4),MATCH($D27,IN_Admin2,0))&lt;=INDEX(Severity_3,MATCH(X$4,PiN_Code,0)),3,1))),
IF(AND(INDEX(Logical_Operator,MATCH(X$4,PiN_Code,0))="&lt;=",INDEX(EndFormula,MATCH(X$4,PiN_Code,0))="Severity 5, no 2"),
IF(INDEX(INDIRECT(X$4),MATCH($D27,IN_Admin2,0))&lt;=INDEX(Severity_1,MATCH(X$4,PiN_Code,0)),1,
IF(INDEX(INDIRECT(X$4),MATCH($D27,IN_Admin2,0))&lt;=INDEX(Severity_3,MATCH(X$4,PiN_Code,0)),3,
IF(INDEX(INDIRECT(X$4),MATCH($D27,IN_Admin2,0))&lt;=INDEX(Severity_4,MATCH(X$4,PiN_Code,0)),4,5))),
IF(AND(INDEX(Logical_Operator,MATCH(X$4,PiN_Code,0))="&lt;=",INDEX(EndFormula,MATCH(X$4,PiN_Code,0))="Severity 5"),
IF(INDEX(INDIRECT(X$4),MATCH($D27,IN_Admin2,0))&lt;=INDEX(Severity_1,MATCH(X$4,PiN_Code,0)),1,
IF(INDEX(INDIRECT(X$4),MATCH($D27,IN_Admin2,0))&lt;=INDEX(Severity_2,MATCH(X$4,PiN_Code,0)),2,
IF(INDEX(INDIRECT(X$4),MATCH($D27,IN_Admin2,0))&lt;=INDEX(Severity_3,MATCH(X$4,PiN_Code,0)),3,
IF(INDEX(INDIRECT(X$4),MATCH($D27,IN_Admin2,0))&lt;=INDEX(Severity_4,MATCH(X$4,PiN_Code,0)),4,5)))),
IF(AND(INDEX(Logical_Operator,MATCH(X$4,PiN_Code,0))="&gt;=",INDEX(EndFormula,MATCH(X$4,PiN_Code,0))="Severity 1"),
IF(INDEX(INDIRECT(X$4),MATCH($D27,IN_Admin2,0))&gt;=INDEX(Severity_5,MATCH(X$4,PiN_Code,0)),5,
IF(INDEX(INDIRECT(X$4),MATCH($D27,IN_Admin2,0))&gt;=INDEX(Severity_4,MATCH(X$4,PiN_Code,0)),4,
IF(INDEX(INDIRECT(X$4),MATCH($D27,IN_Admin2,0))&gt;=INDEX(Severity_3,MATCH(X$4,PiN_Code,0)),3,
IF(INDEX(INDIRECT(X$4),MATCH($D27,IN_Admin2,0))&gt;=INDEX(Severity_2,MATCH(X$4,PiN_Code,0)),2,1)))),
IF(AND(INDEX(Logical_Operator,MATCH(X$4,PiN_Code,0))="&gt;=",INDEX(EndFormula,MATCH(X$4,PiN_Code,0))="Severity 1 &amp; 2"),
IF(INDEX(INDIRECT(X$4),MATCH($D27,IN_Admin2,0))&gt;=INDEX(Severity_5,MATCH(X$4,PiN_Code,0)),5,
IF(INDEX(INDIRECT(X$4),MATCH($D27,IN_Admin2,0))&gt;=INDEX(Severity_4,MATCH(X$4,PiN_Code,0)),4,
IF(INDEX(INDIRECT(X$4),MATCH($D27,IN_Admin2,0))&gt;=INDEX(Severity_3,MATCH(X$4,PiN_Code,0)),3,1))),
IF(AND(INDEX(Logical_Operator,MATCH(X$4,PiN_Code,0))="&gt;=",INDEX(EndFormula,MATCH(X$4,PiN_Code,0))="Severity 5, no 2"),
IF(INDEX(INDIRECT(X$4),MATCH($D27,IN_Admin2,0))&gt;=INDEX(Severity_1,MATCH(X$4,PiN_Code,0)),1,
IF(INDEX(INDIRECT(X$4),MATCH($D27,IN_Admin2,0))&gt;=INDEX(Severity_3,MATCH(X$4,PiN_Code,0)),3,
IF(INDEX(INDIRECT(X$4),MATCH($D27,IN_Admin2,0))&gt;=INDEX(Severity_4,MATCH(X$4,PiN_Code,0)),4,5))),
IF(AND(INDEX(Logical_Operator,MATCH(X$4,PiN_Code,0))="&gt;=",INDEX(EndFormula,MATCH(X$4,PiN_Code,0))="Severity 5"),
IF(INDEX(INDIRECT(X$4),MATCH($D27,IN_Admin2,0))&gt;=INDEX(Severity_1,MATCH(X$4,PiN_Code,0)),1,
IF(INDEX(INDIRECT(X$4),MATCH($D27,IN_Admin2,0))&gt;=INDEX(Severity_2,MATCH(X$4,PiN_Code,0)),2,
IF(INDEX(INDIRECT(X$4),MATCH($D27,IN_Admin2,0))&gt;=INDEX(Severity_3,MATCH(X$4,PiN_Code,0)),3,
IF(INDEX(INDIRECT(X$4),MATCH($D27,IN_Admin2,0))&gt;=INDEX(Severity_4,MATCH(X$4,PiN_Code,0)),4,5)))),
IF(AND(INDEX(Logical_Operator,MATCH(X$4,PiN_Code,0))="&gt;",INDEX(EndFormula,MATCH(X$4,PiN_Code,0))="Severity 1"),
IF(INDEX(INDIRECT(X$4),MATCH($D27,IN_Admin2,0))&gt;INDEX(Severity_5,MATCH(X$4,PiN_Code,0)),5,
IF(INDEX(INDIRECT(X$4),MATCH($D27,IN_Admin2,0))&gt;INDEX(Severity_4,MATCH(X$4,PiN_Code,0)),4,
IF(INDEX(INDIRECT(X$4),MATCH($D27,IN_Admin2,0))&gt;INDEX(Severity_3,MATCH(X$4,PiN_Code,0)),3,
IF(INDEX(INDIRECT(X$4),MATCH($D27,IN_Admin2,0))&gt;INDEX(Severity_2,MATCH(X$4,PiN_Code,0)),2,1)))),
IF(AND(INDEX(Logical_Operator,MATCH(X$4,PiN_Code,0))="&gt;",INDEX(EndFormula,MATCH(X$4,PiN_Code,0))="Severity 1 &amp; 2"),
IF(INDEX(INDIRECT(X$4),MATCH($D27,IN_Admin2,0))&gt;INDEX(Severity_5,MATCH(X$4,PiN_Code,0)),5,
IF(INDEX(INDIRECT(X$4),MATCH($D27,IN_Admin2,0))&gt;INDEX(Severity_4,MATCH(X$4,PiN_Code,0)),4,
IF(INDEX(INDIRECT(X$4),MATCH($D27,IN_Admin2,0))&gt;INDEX(Severity_3,MATCH(X$4,PiN_Code,0)),3,1))),
IF(AND(INDEX(Logical_Operator,MATCH(X$4,PiN_Code,0))="&gt;",INDEX(EndFormula,MATCH(X$4,PiN_Code,0))="Severity 5, no 2"),
IF(INDEX(INDIRECT(X$4),MATCH($D27,IN_Admin2,0))&gt;INDEX(Severity_1,MATCH(X$4,PiN_Code,0)),1,
IF(INDEX(INDIRECT(X$4),MATCH($D27,IN_Admin2,0))&gt;INDEX(Severity_3,MATCH(X$4,PiN_Code,0)),3,
IF(INDEX(INDIRECT(X$4),MATCH($D27,IN_Admin2,0))&gt;INDEX(Severity_4,MATCH(X$4,PiN_Code,0)),4,5))),
IF(AND(INDEX(Logical_Operator,MATCH(X$4,PiN_Code,0))="&gt;",INDEX(EndFormula,MATCH(X$4,PiN_Code,0))="Severity 5"),
IF(INDEX(INDIRECT(X$4),MATCH($D27,IN_Admin2,0))&gt;INDEX(Severity_1,MATCH(X$4,PiN_Code,0)),1,
IF(INDEX(INDIRECT(X$4),MATCH($D27,IN_Admin2,0))&gt;INDEX(Severity_2,MATCH(X$4,PiN_Code,0)),2,
IF(INDEX(INDIRECT(X$4),MATCH($D27,IN_Admin2,0))&gt;INDEX(Severity_3,MATCH(X$4,PiN_Code,0)),3,
IF(INDEX(INDIRECT(X$4),MATCH($D27,IN_Admin2,0))&gt;INDEX(Severity_4,MATCH(X$4,PiN_Code,0)),4,5)))),
IF(AND(INDEX(Logical_Operator,MATCH(X$4,PiN_Code,0))="=",INDEX(EndFormula,MATCH(X$4,PiN_Code,0))="Severity 1"),
IF(INDEX(INDIRECT(X$4),MATCH($D27,IN_Admin2,0))=INDEX(Severity_5,MATCH(X$4,PiN_Code,0)),5,
IF(INDEX(INDIRECT(X$4),MATCH($D27,IN_Admin2,0))=INDEX(Severity_4,MATCH(X$4,PiN_Code,0)),4,
IF(INDEX(INDIRECT(X$4),MATCH($D27,IN_Admin2,0))=INDEX(Severity_3,MATCH(X$4,PiN_Code,0)),3,
IF(INDEX(INDIRECT(X$4),MATCH($D27,IN_Admin2,0))=INDEX(Severity_2,MATCH(X$4,PiN_Code,0)),2,1)))),
IF(INDEX(Logical_Operator,MATCH(X$4,PiN_Code,0))="=",
INDEX(INDIRECT(X$4),MATCH($D27,IN_Admin2,0)))))))))))))))))))))</f>
        <v>1</v>
      </c>
      <c r="Y27" s="77">
        <f t="shared" ca="1" si="26"/>
        <v>1</v>
      </c>
      <c r="Z27" s="77">
        <f t="shared" ca="1" si="26"/>
        <v>1</v>
      </c>
      <c r="AA27" s="41"/>
      <c r="AB27" s="77">
        <f t="shared" ca="1" si="23"/>
        <v>1</v>
      </c>
      <c r="AC27" s="77">
        <f t="shared" ca="1" si="23"/>
        <v>5</v>
      </c>
      <c r="AD27" s="77">
        <f t="shared" ca="1" si="24"/>
        <v>5</v>
      </c>
      <c r="AE27" s="77">
        <f t="shared" ca="1" si="23"/>
        <v>5</v>
      </c>
      <c r="AF27" s="77">
        <f t="shared" ca="1" si="23"/>
        <v>5</v>
      </c>
      <c r="AG27" s="77" t="str">
        <f t="shared" ca="1" si="23"/>
        <v/>
      </c>
      <c r="AH27" s="77" t="str">
        <f t="shared" ca="1" si="23"/>
        <v/>
      </c>
      <c r="AI27" s="77" t="str">
        <f t="shared" ca="1" si="23"/>
        <v/>
      </c>
      <c r="AJ27" s="41"/>
      <c r="AK27" s="77">
        <f t="shared" ca="1" si="25"/>
        <v>3</v>
      </c>
      <c r="AL27" s="77">
        <f t="shared" ca="1" si="25"/>
        <v>2</v>
      </c>
      <c r="AM27" s="80"/>
      <c r="AN27" s="77">
        <f t="shared" ca="1" si="16"/>
        <v>3</v>
      </c>
    </row>
    <row r="28" spans="3:40" x14ac:dyDescent="0.4">
      <c r="C28" s="17" t="str">
        <f>Indicator_Input!$B26</f>
        <v>Gondor</v>
      </c>
      <c r="D28" s="17" t="str">
        <f>Indicator_Input!$C26</f>
        <v>Lamedon</v>
      </c>
      <c r="E28" s="76">
        <f t="shared" ca="1" si="20"/>
        <v>0</v>
      </c>
      <c r="F28" s="76">
        <f t="shared" ca="1" si="20"/>
        <v>0</v>
      </c>
      <c r="G28" s="76">
        <f t="shared" ca="1" si="20"/>
        <v>0</v>
      </c>
      <c r="H28" s="76">
        <f t="shared" ca="1" si="20"/>
        <v>730.80000000000064</v>
      </c>
      <c r="I28" s="76">
        <f t="shared" ca="1" si="20"/>
        <v>0</v>
      </c>
      <c r="J28" s="76">
        <f t="shared" ca="1" si="20"/>
        <v>0</v>
      </c>
      <c r="K28" s="76">
        <f t="shared" ca="1" si="20"/>
        <v>0</v>
      </c>
      <c r="L28" s="76">
        <f t="shared" ca="1" si="20"/>
        <v>2760.8</v>
      </c>
      <c r="M28" s="41"/>
      <c r="N28" s="76">
        <f t="shared" ca="1" si="21"/>
        <v>2192.4</v>
      </c>
      <c r="O28" s="76">
        <f t="shared" ca="1" si="21"/>
        <v>1461.6000000000004</v>
      </c>
      <c r="P28" s="76">
        <f t="shared" ca="1" si="21"/>
        <v>7145.5999999999995</v>
      </c>
      <c r="Q28" s="76">
        <f t="shared" ca="1" si="21"/>
        <v>0</v>
      </c>
      <c r="R28" s="76">
        <f t="shared" ca="1" si="21"/>
        <v>2598.4000000000005</v>
      </c>
      <c r="S28" s="41"/>
      <c r="T28" s="76">
        <f t="shared" ca="1" si="13"/>
        <v>4148</v>
      </c>
      <c r="U28" s="76">
        <f t="shared" ca="1" si="22"/>
        <v>695</v>
      </c>
      <c r="V28" s="40"/>
      <c r="W28" s="77">
        <f t="shared" ca="1" si="17"/>
        <v>5</v>
      </c>
      <c r="X28" s="77">
        <f t="shared" ca="1" si="26"/>
        <v>1</v>
      </c>
      <c r="Y28" s="77">
        <f t="shared" ca="1" si="26"/>
        <v>1</v>
      </c>
      <c r="Z28" s="77">
        <f t="shared" ca="1" si="26"/>
        <v>1</v>
      </c>
      <c r="AA28" s="41"/>
      <c r="AB28" s="77">
        <f t="shared" ca="1" si="23"/>
        <v>1</v>
      </c>
      <c r="AC28" s="77">
        <f t="shared" ca="1" si="23"/>
        <v>5</v>
      </c>
      <c r="AD28" s="77">
        <f t="shared" ca="1" si="24"/>
        <v>5</v>
      </c>
      <c r="AE28" s="77">
        <f t="shared" ca="1" si="23"/>
        <v>1</v>
      </c>
      <c r="AF28" s="77">
        <f t="shared" ca="1" si="23"/>
        <v>5</v>
      </c>
      <c r="AG28" s="77" t="str">
        <f t="shared" ca="1" si="23"/>
        <v/>
      </c>
      <c r="AH28" s="77" t="str">
        <f t="shared" ca="1" si="23"/>
        <v/>
      </c>
      <c r="AI28" s="77" t="str">
        <f t="shared" ca="1" si="23"/>
        <v/>
      </c>
      <c r="AJ28" s="41"/>
      <c r="AK28" s="77">
        <f t="shared" ca="1" si="25"/>
        <v>1</v>
      </c>
      <c r="AL28" s="77">
        <f t="shared" ca="1" si="25"/>
        <v>3</v>
      </c>
      <c r="AM28" s="80"/>
      <c r="AN28" s="77">
        <f t="shared" ca="1" si="16"/>
        <v>1</v>
      </c>
    </row>
    <row r="29" spans="3:40" x14ac:dyDescent="0.4">
      <c r="C29" s="17" t="str">
        <f>Indicator_Input!$B27</f>
        <v>Gondor</v>
      </c>
      <c r="D29" s="17" t="str">
        <f>Indicator_Input!$C27</f>
        <v>Lebennin</v>
      </c>
      <c r="E29" s="76">
        <f t="shared" ca="1" si="20"/>
        <v>0</v>
      </c>
      <c r="F29" s="76">
        <f t="shared" ca="1" si="20"/>
        <v>0</v>
      </c>
      <c r="G29" s="76">
        <f t="shared" ca="1" si="20"/>
        <v>0</v>
      </c>
      <c r="H29" s="76">
        <f t="shared" ca="1" si="20"/>
        <v>963.40000000000089</v>
      </c>
      <c r="I29" s="76">
        <f t="shared" ca="1" si="20"/>
        <v>0</v>
      </c>
      <c r="J29" s="76">
        <f t="shared" ca="1" si="20"/>
        <v>0</v>
      </c>
      <c r="K29" s="76">
        <f t="shared" ca="1" si="20"/>
        <v>0</v>
      </c>
      <c r="L29" s="76">
        <f t="shared" ca="1" si="20"/>
        <v>4624.3200000000006</v>
      </c>
      <c r="M29" s="41"/>
      <c r="N29" s="76">
        <f t="shared" ca="1" si="21"/>
        <v>2023.1399999999999</v>
      </c>
      <c r="O29" s="76">
        <f t="shared" ca="1" si="21"/>
        <v>0</v>
      </c>
      <c r="P29" s="76">
        <f t="shared" ca="1" si="21"/>
        <v>3275.5599999999995</v>
      </c>
      <c r="Q29" s="76">
        <f t="shared" ca="1" si="21"/>
        <v>2312.16</v>
      </c>
      <c r="R29" s="76">
        <f t="shared" ca="1" si="21"/>
        <v>4238.96</v>
      </c>
      <c r="S29" s="41"/>
      <c r="T29" s="76">
        <f t="shared" ca="1" si="13"/>
        <v>236</v>
      </c>
      <c r="U29" s="76">
        <f t="shared" ca="1" si="22"/>
        <v>347</v>
      </c>
      <c r="V29" s="40"/>
      <c r="W29" s="77">
        <f t="shared" ca="1" si="17"/>
        <v>5</v>
      </c>
      <c r="X29" s="77">
        <f t="shared" ca="1" si="26"/>
        <v>1</v>
      </c>
      <c r="Y29" s="77">
        <f t="shared" ca="1" si="26"/>
        <v>1</v>
      </c>
      <c r="Z29" s="77">
        <f t="shared" ca="1" si="26"/>
        <v>1</v>
      </c>
      <c r="AA29" s="41"/>
      <c r="AB29" s="77">
        <f t="shared" ca="1" si="23"/>
        <v>1</v>
      </c>
      <c r="AC29" s="77">
        <f t="shared" ca="1" si="23"/>
        <v>5</v>
      </c>
      <c r="AD29" s="77">
        <f t="shared" ca="1" si="24"/>
        <v>5</v>
      </c>
      <c r="AE29" s="77">
        <f t="shared" ca="1" si="23"/>
        <v>5</v>
      </c>
      <c r="AF29" s="77">
        <f t="shared" ca="1" si="23"/>
        <v>5</v>
      </c>
      <c r="AG29" s="77" t="str">
        <f t="shared" ca="1" si="23"/>
        <v/>
      </c>
      <c r="AH29" s="77" t="str">
        <f t="shared" ca="1" si="23"/>
        <v/>
      </c>
      <c r="AI29" s="77" t="str">
        <f t="shared" ca="1" si="23"/>
        <v/>
      </c>
      <c r="AJ29" s="41"/>
      <c r="AK29" s="77">
        <f t="shared" ca="1" si="25"/>
        <v>1</v>
      </c>
      <c r="AL29" s="77">
        <f t="shared" ca="1" si="25"/>
        <v>3</v>
      </c>
      <c r="AM29" s="80"/>
      <c r="AN29" s="77">
        <f t="shared" ca="1" si="16"/>
        <v>5</v>
      </c>
    </row>
    <row r="30" spans="3:40" x14ac:dyDescent="0.4">
      <c r="C30" s="17" t="str">
        <f>Indicator_Input!$B28</f>
        <v>Gondor</v>
      </c>
      <c r="D30" s="17" t="str">
        <f>Indicator_Input!$C28</f>
        <v>Lossarnach</v>
      </c>
      <c r="E30" s="76">
        <f t="shared" ca="1" si="20"/>
        <v>0</v>
      </c>
      <c r="F30" s="76">
        <f t="shared" ca="1" si="20"/>
        <v>9244.8888888888869</v>
      </c>
      <c r="G30" s="76">
        <f t="shared" ca="1" si="20"/>
        <v>0</v>
      </c>
      <c r="H30" s="76">
        <f t="shared" ca="1" si="20"/>
        <v>3339.160000000003</v>
      </c>
      <c r="I30" s="76">
        <f t="shared" ca="1" si="20"/>
        <v>0</v>
      </c>
      <c r="J30" s="76">
        <f t="shared" ca="1" si="20"/>
        <v>30356</v>
      </c>
      <c r="K30" s="76">
        <f t="shared" ca="1" si="20"/>
        <v>0</v>
      </c>
      <c r="L30" s="76">
        <f t="shared" ca="1" si="20"/>
        <v>4249.84</v>
      </c>
      <c r="M30" s="41"/>
      <c r="N30" s="76">
        <f t="shared" ca="1" si="21"/>
        <v>8196.1200000000008</v>
      </c>
      <c r="O30" s="76">
        <f t="shared" ca="1" si="21"/>
        <v>11535.28</v>
      </c>
      <c r="P30" s="76">
        <f t="shared" ca="1" si="21"/>
        <v>3642.72</v>
      </c>
      <c r="Q30" s="76">
        <f t="shared" ca="1" si="21"/>
        <v>11231.72</v>
      </c>
      <c r="R30" s="76">
        <f t="shared" ca="1" si="21"/>
        <v>21856.32</v>
      </c>
      <c r="S30" s="41"/>
      <c r="T30" s="76">
        <f t="shared" ca="1" si="13"/>
        <v>13026</v>
      </c>
      <c r="U30" s="76">
        <f t="shared" ca="1" si="22"/>
        <v>3974</v>
      </c>
      <c r="V30" s="40"/>
      <c r="W30" s="77">
        <f t="shared" ca="1" si="17"/>
        <v>4</v>
      </c>
      <c r="X30" s="77">
        <f t="shared" ca="1" si="26"/>
        <v>3</v>
      </c>
      <c r="Y30" s="77">
        <f t="shared" ca="1" si="26"/>
        <v>1</v>
      </c>
      <c r="Z30" s="77">
        <f t="shared" ca="1" si="26"/>
        <v>1</v>
      </c>
      <c r="AA30" s="41"/>
      <c r="AB30" s="77">
        <f t="shared" ca="1" si="23"/>
        <v>1</v>
      </c>
      <c r="AC30" s="77">
        <f t="shared" ca="1" si="23"/>
        <v>5</v>
      </c>
      <c r="AD30" s="77">
        <f t="shared" ca="1" si="24"/>
        <v>5</v>
      </c>
      <c r="AE30" s="77">
        <f t="shared" ca="1" si="23"/>
        <v>5</v>
      </c>
      <c r="AF30" s="77">
        <f t="shared" ca="1" si="23"/>
        <v>5</v>
      </c>
      <c r="AG30" s="77" t="str">
        <f t="shared" ca="1" si="23"/>
        <v/>
      </c>
      <c r="AH30" s="77" t="str">
        <f t="shared" ca="1" si="23"/>
        <v/>
      </c>
      <c r="AI30" s="77" t="str">
        <f t="shared" ca="1" si="23"/>
        <v/>
      </c>
      <c r="AJ30" s="41"/>
      <c r="AK30" s="77">
        <f t="shared" ca="1" si="25"/>
        <v>1</v>
      </c>
      <c r="AL30" s="77">
        <f t="shared" ca="1" si="25"/>
        <v>3</v>
      </c>
      <c r="AM30" s="80"/>
      <c r="AN30" s="77">
        <f t="shared" ca="1" si="16"/>
        <v>5</v>
      </c>
    </row>
    <row r="31" spans="3:40" x14ac:dyDescent="0.4">
      <c r="C31" s="17" t="str">
        <f>Indicator_Input!$B29</f>
        <v>Gondor</v>
      </c>
      <c r="D31" s="17" t="str">
        <f>Indicator_Input!$C29</f>
        <v>Morthond</v>
      </c>
      <c r="E31" s="76">
        <f t="shared" ca="1" si="20"/>
        <v>0</v>
      </c>
      <c r="F31" s="76">
        <f t="shared" ca="1" si="20"/>
        <v>0</v>
      </c>
      <c r="G31" s="76">
        <f t="shared" ca="1" si="20"/>
        <v>0</v>
      </c>
      <c r="H31" s="76">
        <f t="shared" ca="1" si="20"/>
        <v>4438.72</v>
      </c>
      <c r="I31" s="76">
        <f t="shared" ca="1" si="20"/>
        <v>0</v>
      </c>
      <c r="J31" s="76">
        <f t="shared" ca="1" si="20"/>
        <v>0</v>
      </c>
      <c r="K31" s="76">
        <f t="shared" ca="1" si="20"/>
        <v>0</v>
      </c>
      <c r="L31" s="76">
        <f t="shared" ca="1" si="20"/>
        <v>1109.68</v>
      </c>
      <c r="M31" s="41"/>
      <c r="N31" s="76">
        <f t="shared" ca="1" si="21"/>
        <v>938.96</v>
      </c>
      <c r="O31" s="76">
        <f t="shared" ca="1" si="21"/>
        <v>4268</v>
      </c>
      <c r="P31" s="76">
        <f t="shared" ca="1" si="21"/>
        <v>938.95999999999992</v>
      </c>
      <c r="Q31" s="76">
        <f t="shared" ca="1" si="21"/>
        <v>1707.2000000000005</v>
      </c>
      <c r="R31" s="76">
        <f t="shared" ca="1" si="21"/>
        <v>2816.8800000000006</v>
      </c>
      <c r="S31" s="41"/>
      <c r="T31" s="76">
        <f t="shared" ca="1" si="13"/>
        <v>4023</v>
      </c>
      <c r="U31" s="76">
        <f t="shared" ca="1" si="22"/>
        <v>163</v>
      </c>
      <c r="V31" s="40"/>
      <c r="W31" s="77">
        <f t="shared" ca="1" si="17"/>
        <v>5</v>
      </c>
      <c r="X31" s="77">
        <f t="shared" ca="1" si="26"/>
        <v>1</v>
      </c>
      <c r="Y31" s="77">
        <f t="shared" ca="1" si="26"/>
        <v>1</v>
      </c>
      <c r="Z31" s="77">
        <f t="shared" ca="1" si="26"/>
        <v>1</v>
      </c>
      <c r="AA31" s="41"/>
      <c r="AB31" s="77">
        <f t="shared" ca="1" si="23"/>
        <v>1</v>
      </c>
      <c r="AC31" s="77">
        <f t="shared" ca="1" si="23"/>
        <v>4</v>
      </c>
      <c r="AD31" s="77">
        <f t="shared" ca="1" si="24"/>
        <v>5</v>
      </c>
      <c r="AE31" s="77">
        <f t="shared" ca="1" si="23"/>
        <v>5</v>
      </c>
      <c r="AF31" s="77">
        <f t="shared" ca="1" si="23"/>
        <v>5</v>
      </c>
      <c r="AG31" s="77" t="str">
        <f t="shared" ca="1" si="23"/>
        <v/>
      </c>
      <c r="AH31" s="77" t="str">
        <f t="shared" ca="1" si="23"/>
        <v/>
      </c>
      <c r="AI31" s="77" t="str">
        <f t="shared" ca="1" si="23"/>
        <v/>
      </c>
      <c r="AJ31" s="41"/>
      <c r="AK31" s="77">
        <f t="shared" ca="1" si="25"/>
        <v>3</v>
      </c>
      <c r="AL31" s="77">
        <f t="shared" ca="1" si="25"/>
        <v>1</v>
      </c>
      <c r="AM31" s="80"/>
      <c r="AN31" s="77">
        <f t="shared" ca="1" si="16"/>
        <v>3</v>
      </c>
    </row>
    <row r="32" spans="3:40" x14ac:dyDescent="0.4">
      <c r="C32" s="17" t="str">
        <f>Indicator_Input!$B30</f>
        <v>Gondor</v>
      </c>
      <c r="D32" s="17" t="str">
        <f>Indicator_Input!$C30</f>
        <v>Pinnath Gelin</v>
      </c>
      <c r="E32" s="76">
        <f t="shared" ca="1" si="20"/>
        <v>0</v>
      </c>
      <c r="F32" s="76">
        <f t="shared" ca="1" si="20"/>
        <v>48978.555555555555</v>
      </c>
      <c r="G32" s="76">
        <f t="shared" ca="1" si="20"/>
        <v>28923</v>
      </c>
      <c r="H32" s="76">
        <f t="shared" ca="1" si="20"/>
        <v>15016.140000000005</v>
      </c>
      <c r="I32" s="76">
        <f t="shared" ca="1" si="20"/>
        <v>83423</v>
      </c>
      <c r="J32" s="76">
        <f t="shared" ca="1" si="20"/>
        <v>0</v>
      </c>
      <c r="K32" s="76">
        <f t="shared" ca="1" si="20"/>
        <v>0</v>
      </c>
      <c r="L32" s="76">
        <f t="shared" ca="1" si="20"/>
        <v>45048.420000000006</v>
      </c>
      <c r="M32" s="41"/>
      <c r="N32" s="76">
        <f t="shared" ca="1" si="21"/>
        <v>21689.98</v>
      </c>
      <c r="O32" s="76">
        <f t="shared" ca="1" si="21"/>
        <v>24192.670000000002</v>
      </c>
      <c r="P32" s="76">
        <f t="shared" ca="1" si="21"/>
        <v>62567.25</v>
      </c>
      <c r="Q32" s="76">
        <f t="shared" ca="1" si="21"/>
        <v>28363.819999999996</v>
      </c>
      <c r="R32" s="76">
        <f t="shared" ca="1" si="21"/>
        <v>56727.640000000007</v>
      </c>
      <c r="S32" s="41"/>
      <c r="T32" s="76">
        <f t="shared" ca="1" si="13"/>
        <v>10594</v>
      </c>
      <c r="U32" s="76">
        <f t="shared" ca="1" si="22"/>
        <v>7610</v>
      </c>
      <c r="V32" s="40"/>
      <c r="W32" s="77">
        <f t="shared" ca="1" si="17"/>
        <v>3</v>
      </c>
      <c r="X32" s="77">
        <f t="shared" ca="1" si="26"/>
        <v>4</v>
      </c>
      <c r="Y32" s="77">
        <f t="shared" ca="1" si="26"/>
        <v>5</v>
      </c>
      <c r="Z32" s="77">
        <f t="shared" ca="1" si="26"/>
        <v>1</v>
      </c>
      <c r="AA32" s="41"/>
      <c r="AB32" s="77">
        <f t="shared" ca="1" si="23"/>
        <v>1</v>
      </c>
      <c r="AC32" s="77">
        <f t="shared" ca="1" si="23"/>
        <v>5</v>
      </c>
      <c r="AD32" s="77">
        <f t="shared" ca="1" si="24"/>
        <v>5</v>
      </c>
      <c r="AE32" s="77">
        <f t="shared" ca="1" si="23"/>
        <v>5</v>
      </c>
      <c r="AF32" s="77">
        <f t="shared" ca="1" si="23"/>
        <v>5</v>
      </c>
      <c r="AG32" s="77" t="str">
        <f t="shared" ca="1" si="23"/>
        <v/>
      </c>
      <c r="AH32" s="77" t="str">
        <f t="shared" ca="1" si="23"/>
        <v/>
      </c>
      <c r="AI32" s="77" t="str">
        <f t="shared" ca="1" si="23"/>
        <v/>
      </c>
      <c r="AJ32" s="41"/>
      <c r="AK32" s="77">
        <f t="shared" ca="1" si="25"/>
        <v>1</v>
      </c>
      <c r="AL32" s="77">
        <f t="shared" ca="1" si="25"/>
        <v>3</v>
      </c>
      <c r="AM32" s="80"/>
      <c r="AN32" s="77">
        <f t="shared" ca="1" si="16"/>
        <v>5</v>
      </c>
    </row>
    <row r="33" spans="3:40" x14ac:dyDescent="0.4">
      <c r="C33" s="17" t="str">
        <f>Indicator_Input!$B31</f>
        <v>Gondor</v>
      </c>
      <c r="D33" s="17" t="str">
        <f>Indicator_Input!$C31</f>
        <v>Ringlo Vale</v>
      </c>
      <c r="E33" s="76">
        <f t="shared" ca="1" si="20"/>
        <v>0</v>
      </c>
      <c r="F33" s="76">
        <f t="shared" ca="1" si="20"/>
        <v>0</v>
      </c>
      <c r="G33" s="76">
        <f t="shared" ca="1" si="20"/>
        <v>0</v>
      </c>
      <c r="H33" s="76">
        <f t="shared" ca="1" si="20"/>
        <v>554.5800000000005</v>
      </c>
      <c r="I33" s="76">
        <f t="shared" ca="1" si="20"/>
        <v>0</v>
      </c>
      <c r="J33" s="76">
        <f t="shared" ca="1" si="20"/>
        <v>0</v>
      </c>
      <c r="K33" s="76">
        <f t="shared" ca="1" si="20"/>
        <v>0</v>
      </c>
      <c r="L33" s="76">
        <f t="shared" ca="1" si="20"/>
        <v>4436.6400000000003</v>
      </c>
      <c r="M33" s="41"/>
      <c r="N33" s="76">
        <f t="shared" ca="1" si="21"/>
        <v>924.30000000000007</v>
      </c>
      <c r="O33" s="76">
        <f t="shared" ca="1" si="21"/>
        <v>4159.3500000000004</v>
      </c>
      <c r="P33" s="76">
        <f t="shared" ca="1" si="21"/>
        <v>3697.1999999999994</v>
      </c>
      <c r="Q33" s="76">
        <f t="shared" ca="1" si="21"/>
        <v>0</v>
      </c>
      <c r="R33" s="76">
        <f t="shared" ca="1" si="21"/>
        <v>7764.1200000000008</v>
      </c>
      <c r="S33" s="41"/>
      <c r="T33" s="76">
        <f t="shared" ca="1" si="13"/>
        <v>8141</v>
      </c>
      <c r="U33" s="76">
        <f t="shared" ca="1" si="22"/>
        <v>403</v>
      </c>
      <c r="V33" s="40"/>
      <c r="W33" s="77">
        <f t="shared" ca="1" si="17"/>
        <v>5</v>
      </c>
      <c r="X33" s="77">
        <f t="shared" ca="1" si="26"/>
        <v>1</v>
      </c>
      <c r="Y33" s="77">
        <f t="shared" ca="1" si="26"/>
        <v>1</v>
      </c>
      <c r="Z33" s="77">
        <f t="shared" ca="1" si="26"/>
        <v>1</v>
      </c>
      <c r="AA33" s="41"/>
      <c r="AB33" s="77">
        <f t="shared" ca="1" si="23"/>
        <v>1</v>
      </c>
      <c r="AC33" s="77">
        <f t="shared" ca="1" si="23"/>
        <v>5</v>
      </c>
      <c r="AD33" s="77">
        <f t="shared" ca="1" si="24"/>
        <v>5</v>
      </c>
      <c r="AE33" s="77">
        <f t="shared" ca="1" si="23"/>
        <v>1</v>
      </c>
      <c r="AF33" s="77">
        <f t="shared" ca="1" si="23"/>
        <v>5</v>
      </c>
      <c r="AG33" s="77" t="str">
        <f t="shared" ca="1" si="23"/>
        <v/>
      </c>
      <c r="AH33" s="77" t="str">
        <f t="shared" ca="1" si="23"/>
        <v/>
      </c>
      <c r="AI33" s="77" t="str">
        <f t="shared" ca="1" si="23"/>
        <v/>
      </c>
      <c r="AJ33" s="41"/>
      <c r="AK33" s="77">
        <f t="shared" ca="1" si="25"/>
        <v>4</v>
      </c>
      <c r="AL33" s="77">
        <f t="shared" ca="1" si="25"/>
        <v>2</v>
      </c>
      <c r="AM33" s="80"/>
      <c r="AN33" s="77">
        <f t="shared" ca="1" si="16"/>
        <v>5</v>
      </c>
    </row>
    <row r="34" spans="3:40" x14ac:dyDescent="0.4">
      <c r="C34" s="17" t="str">
        <f>Indicator_Input!$B32</f>
        <v>Harad</v>
      </c>
      <c r="D34" s="17" t="str">
        <f>Indicator_Input!$C32</f>
        <v>Corsairs</v>
      </c>
      <c r="E34" s="76">
        <f t="shared" ca="1" si="20"/>
        <v>0</v>
      </c>
      <c r="F34" s="76">
        <f t="shared" ca="1" si="20"/>
        <v>4996.4444444444434</v>
      </c>
      <c r="G34" s="76">
        <f t="shared" ca="1" si="20"/>
        <v>0</v>
      </c>
      <c r="H34" s="76">
        <f t="shared" ca="1" si="20"/>
        <v>2332.8000000000002</v>
      </c>
      <c r="I34" s="76">
        <f t="shared" ca="1" si="20"/>
        <v>0</v>
      </c>
      <c r="J34" s="76">
        <f t="shared" ca="1" si="20"/>
        <v>0</v>
      </c>
      <c r="K34" s="76">
        <f t="shared" ca="1" si="20"/>
        <v>0</v>
      </c>
      <c r="L34" s="76">
        <f t="shared" ca="1" si="20"/>
        <v>11975.04</v>
      </c>
      <c r="M34" s="41"/>
      <c r="N34" s="76">
        <f t="shared" ca="1" si="21"/>
        <v>3421.44</v>
      </c>
      <c r="O34" s="76">
        <f t="shared" ca="1" si="21"/>
        <v>10264.32</v>
      </c>
      <c r="P34" s="76">
        <f t="shared" ca="1" si="21"/>
        <v>2488.3199999999988</v>
      </c>
      <c r="Q34" s="76">
        <f t="shared" ca="1" si="21"/>
        <v>0</v>
      </c>
      <c r="R34" s="76">
        <f t="shared" ca="1" si="21"/>
        <v>1866.24</v>
      </c>
      <c r="S34" s="41"/>
      <c r="T34" s="76">
        <f t="shared" ca="1" si="13"/>
        <v>2426</v>
      </c>
      <c r="U34" s="76">
        <f t="shared" ca="1" si="22"/>
        <v>633</v>
      </c>
      <c r="V34" s="40"/>
      <c r="W34" s="77">
        <f t="shared" ca="1" si="17"/>
        <v>1</v>
      </c>
      <c r="X34" s="77">
        <f t="shared" ca="1" si="26"/>
        <v>3</v>
      </c>
      <c r="Y34" s="77">
        <f t="shared" ca="1" si="26"/>
        <v>1</v>
      </c>
      <c r="Z34" s="77">
        <f t="shared" ca="1" si="26"/>
        <v>1</v>
      </c>
      <c r="AA34" s="41"/>
      <c r="AB34" s="77">
        <f t="shared" ca="1" si="23"/>
        <v>1</v>
      </c>
      <c r="AC34" s="77">
        <f t="shared" ca="1" si="23"/>
        <v>5</v>
      </c>
      <c r="AD34" s="77">
        <f t="shared" ca="1" si="24"/>
        <v>5</v>
      </c>
      <c r="AE34" s="77">
        <f t="shared" ca="1" si="23"/>
        <v>1</v>
      </c>
      <c r="AF34" s="77">
        <f t="shared" ca="1" si="23"/>
        <v>5</v>
      </c>
      <c r="AG34" s="77" t="str">
        <f t="shared" ca="1" si="23"/>
        <v/>
      </c>
      <c r="AH34" s="77" t="str">
        <f t="shared" ca="1" si="23"/>
        <v/>
      </c>
      <c r="AI34" s="77" t="str">
        <f t="shared" ca="1" si="23"/>
        <v/>
      </c>
      <c r="AJ34" s="41"/>
      <c r="AK34" s="77">
        <f t="shared" ca="1" si="25"/>
        <v>4</v>
      </c>
      <c r="AL34" s="77">
        <f t="shared" ca="1" si="25"/>
        <v>2</v>
      </c>
      <c r="AM34" s="80"/>
      <c r="AN34" s="77">
        <f t="shared" ca="1" si="16"/>
        <v>5</v>
      </c>
    </row>
    <row r="35" spans="3:40" x14ac:dyDescent="0.4">
      <c r="C35" s="17" t="str">
        <f>Indicator_Input!$B33</f>
        <v>Harad</v>
      </c>
      <c r="D35" s="17" t="str">
        <f>Indicator_Input!$C33</f>
        <v>Far Harad</v>
      </c>
      <c r="E35" s="76">
        <f t="shared" ca="1" si="20"/>
        <v>0</v>
      </c>
      <c r="F35" s="76">
        <f t="shared" ca="1" si="20"/>
        <v>0</v>
      </c>
      <c r="G35" s="76">
        <f t="shared" ca="1" si="20"/>
        <v>0</v>
      </c>
      <c r="H35" s="76">
        <f t="shared" ca="1" si="20"/>
        <v>1540.88</v>
      </c>
      <c r="I35" s="76">
        <f t="shared" ca="1" si="20"/>
        <v>0</v>
      </c>
      <c r="J35" s="76">
        <f t="shared" ca="1" si="20"/>
        <v>0</v>
      </c>
      <c r="K35" s="76">
        <f t="shared" ca="1" si="20"/>
        <v>0</v>
      </c>
      <c r="L35" s="76">
        <f t="shared" ca="1" si="20"/>
        <v>2084.7200000000003</v>
      </c>
      <c r="M35" s="41"/>
      <c r="N35" s="76">
        <f t="shared" ca="1" si="21"/>
        <v>1133</v>
      </c>
      <c r="O35" s="76">
        <f t="shared" ca="1" si="21"/>
        <v>181.28000000000017</v>
      </c>
      <c r="P35" s="76">
        <f t="shared" ca="1" si="21"/>
        <v>453.19999999999987</v>
      </c>
      <c r="Q35" s="76">
        <f t="shared" ca="1" si="21"/>
        <v>3534.96</v>
      </c>
      <c r="R35" s="76">
        <f t="shared" ca="1" si="21"/>
        <v>2900.48</v>
      </c>
      <c r="S35" s="41"/>
      <c r="T35" s="76">
        <f t="shared" ca="1" si="13"/>
        <v>1193</v>
      </c>
      <c r="U35" s="76">
        <f t="shared" ca="1" si="22"/>
        <v>222</v>
      </c>
      <c r="V35" s="40"/>
      <c r="W35" s="77">
        <f t="shared" ca="1" si="17"/>
        <v>5</v>
      </c>
      <c r="X35" s="77">
        <f t="shared" ca="1" si="26"/>
        <v>1</v>
      </c>
      <c r="Y35" s="77">
        <f t="shared" ca="1" si="26"/>
        <v>1</v>
      </c>
      <c r="Z35" s="77">
        <f t="shared" ca="1" si="26"/>
        <v>1</v>
      </c>
      <c r="AA35" s="41"/>
      <c r="AB35" s="77">
        <f t="shared" ca="1" si="23"/>
        <v>1</v>
      </c>
      <c r="AC35" s="77">
        <f t="shared" ca="1" si="23"/>
        <v>5</v>
      </c>
      <c r="AD35" s="77">
        <f t="shared" ca="1" si="24"/>
        <v>4</v>
      </c>
      <c r="AE35" s="77">
        <f t="shared" ca="1" si="23"/>
        <v>5</v>
      </c>
      <c r="AF35" s="77">
        <f t="shared" ca="1" si="23"/>
        <v>5</v>
      </c>
      <c r="AG35" s="77" t="str">
        <f t="shared" ca="1" si="23"/>
        <v/>
      </c>
      <c r="AH35" s="77" t="str">
        <f t="shared" ca="1" si="23"/>
        <v/>
      </c>
      <c r="AI35" s="77" t="str">
        <f t="shared" ca="1" si="23"/>
        <v/>
      </c>
      <c r="AJ35" s="41"/>
      <c r="AK35" s="77">
        <f t="shared" ca="1" si="25"/>
        <v>1</v>
      </c>
      <c r="AL35" s="77">
        <f t="shared" ca="1" si="25"/>
        <v>3</v>
      </c>
      <c r="AM35" s="80"/>
      <c r="AN35" s="77">
        <f t="shared" ca="1" si="16"/>
        <v>3</v>
      </c>
    </row>
    <row r="36" spans="3:40" x14ac:dyDescent="0.4">
      <c r="C36" s="17" t="str">
        <f>Indicator_Input!$B34</f>
        <v>Harad</v>
      </c>
      <c r="D36" s="17" t="str">
        <f>Indicator_Input!$C34</f>
        <v>Near harad</v>
      </c>
      <c r="E36" s="76">
        <f t="shared" ref="E36:L45" ca="1" si="27">IF(INDEX(INDIRECT(E$4),MATCH($D36,IN_Admin2,0))="","",
IF(INDEX(Measure,MATCH(E$4,PiN_Code,0))="Per",
IF(INDEX(Population,MATCH($D36,Admin2,0))-
((INDEX(INDIRECT(E$4),MATCH($D36, Admin2,0)) / INDEX(PiN_Threshold,MATCH(E$4,PiN_Code,0)))*
INDEX(PiN_Per, MATCH(E$4, PiN_Code,0)))&lt;=0,0,
INDEX(Population,MATCH($D36,Admin2,0))-
((INDEX(INDIRECT(E$4),MATCH($D36, Admin2,0))/INDEX(PiN_Threshold,MATCH(E$4,PiN_Code,0)))*
INDEX(PiN_Per, MATCH(E$4, PiN_Code,0)))),
IF(INDEX(Measure,MATCH(E$4,PiN_Code,0))="Proportion",
IF(INDEX(INDIRECT(E$4),MATCH($D36,IN_Admin2,0))&gt;INDEX(PiN_Threshold,MATCH(E$4,PiN_Code,0)),0,
(INDEX(PiN_Threshold,MATCH(E$4,PiN_Code,0))-INDEX(INDIRECT(E$4),MATCH($D36,IN_Admin2,0)))*INDEX(Population,MATCH($D36,Pop_Admin2,0))),
IF(INDEX(Measure,MATCH(E$4,PiN_Code,0))="Number",
IF(INDEX(INDIRECT(E$4),MATCH($D36,IN_Admin2,0))&gt;INDEX(Population,MATCH($D36,Pop_Admin2,0)),INDEX(Population,MATCH($D36,Pop_Admin2,0)),
INDEX(INDIRECT(E$4),MATCH($D36,IN_Admin2,0))),
IF(INDEX(Measure, MATCH(E$4, PiN_Code,0))="Propotion-Total",
INDEX(Population,MATCH($D36,Pop_Admin2,0))*INDEX(INDIRECT(E$4),MATCH($D36,IN_Admin2,0)),"CHECK")))))</f>
        <v>0</v>
      </c>
      <c r="F36" s="76">
        <f t="shared" ca="1" si="27"/>
        <v>0</v>
      </c>
      <c r="G36" s="76">
        <f t="shared" ca="1" si="27"/>
        <v>0</v>
      </c>
      <c r="H36" s="76">
        <f t="shared" ca="1" si="27"/>
        <v>2138.08</v>
      </c>
      <c r="I36" s="76">
        <f t="shared" ca="1" si="27"/>
        <v>0</v>
      </c>
      <c r="J36" s="76">
        <f t="shared" ca="1" si="27"/>
        <v>4648</v>
      </c>
      <c r="K36" s="76">
        <f t="shared" ca="1" si="27"/>
        <v>0</v>
      </c>
      <c r="L36" s="76">
        <f t="shared" ca="1" si="27"/>
        <v>278.88000000000022</v>
      </c>
      <c r="M36" s="41"/>
      <c r="N36" s="76">
        <f t="shared" ca="1" si="21"/>
        <v>1115.52</v>
      </c>
      <c r="O36" s="76">
        <f t="shared" ca="1" si="21"/>
        <v>790.1600000000002</v>
      </c>
      <c r="P36" s="76">
        <f t="shared" ca="1" si="21"/>
        <v>1347.9199999999996</v>
      </c>
      <c r="Q36" s="76">
        <f t="shared" ca="1" si="21"/>
        <v>4136.72</v>
      </c>
      <c r="R36" s="76">
        <f t="shared" ca="1" si="21"/>
        <v>2370.48</v>
      </c>
      <c r="S36" s="41"/>
      <c r="T36" s="76">
        <f t="shared" ca="1" si="13"/>
        <v>3906</v>
      </c>
      <c r="U36" s="76">
        <f t="shared" ca="1" si="22"/>
        <v>609</v>
      </c>
      <c r="V36" s="40"/>
      <c r="W36" s="77">
        <f t="shared" ca="1" si="17"/>
        <v>5</v>
      </c>
      <c r="X36" s="77">
        <f t="shared" ca="1" si="26"/>
        <v>1</v>
      </c>
      <c r="Y36" s="77">
        <f t="shared" ca="1" si="26"/>
        <v>1</v>
      </c>
      <c r="Z36" s="77">
        <f t="shared" ca="1" si="26"/>
        <v>1</v>
      </c>
      <c r="AA36" s="41"/>
      <c r="AB36" s="77">
        <f t="shared" ca="1" si="23"/>
        <v>1</v>
      </c>
      <c r="AC36" s="77">
        <f t="shared" ca="1" si="23"/>
        <v>5</v>
      </c>
      <c r="AD36" s="77">
        <f t="shared" ca="1" si="24"/>
        <v>5</v>
      </c>
      <c r="AE36" s="77">
        <f t="shared" ca="1" si="23"/>
        <v>5</v>
      </c>
      <c r="AF36" s="77">
        <f t="shared" ca="1" si="23"/>
        <v>5</v>
      </c>
      <c r="AG36" s="77" t="str">
        <f t="shared" ca="1" si="23"/>
        <v/>
      </c>
      <c r="AH36" s="77" t="str">
        <f t="shared" ca="1" si="23"/>
        <v/>
      </c>
      <c r="AI36" s="77" t="str">
        <f t="shared" ca="1" si="23"/>
        <v/>
      </c>
      <c r="AJ36" s="41"/>
      <c r="AK36" s="77">
        <f t="shared" ca="1" si="25"/>
        <v>4</v>
      </c>
      <c r="AL36" s="77">
        <f t="shared" ca="1" si="25"/>
        <v>3</v>
      </c>
      <c r="AM36" s="80"/>
      <c r="AN36" s="77">
        <f t="shared" ca="1" si="16"/>
        <v>1</v>
      </c>
    </row>
    <row r="37" spans="3:40" x14ac:dyDescent="0.4">
      <c r="C37" s="17" t="str">
        <f>Indicator_Input!$B35</f>
        <v>Harad</v>
      </c>
      <c r="D37" s="17" t="str">
        <f>Indicator_Input!$C35</f>
        <v>Umbar</v>
      </c>
      <c r="E37" s="76">
        <f t="shared" ca="1" si="27"/>
        <v>0</v>
      </c>
      <c r="F37" s="76">
        <f t="shared" ca="1" si="27"/>
        <v>32254.111111111113</v>
      </c>
      <c r="G37" s="76">
        <f t="shared" ca="1" si="27"/>
        <v>32143</v>
      </c>
      <c r="H37" s="76">
        <f t="shared" ca="1" si="27"/>
        <v>0</v>
      </c>
      <c r="I37" s="76">
        <f t="shared" ca="1" si="27"/>
        <v>0</v>
      </c>
      <c r="J37" s="76">
        <f t="shared" ca="1" si="27"/>
        <v>51143</v>
      </c>
      <c r="K37" s="76">
        <f t="shared" ca="1" si="27"/>
        <v>0</v>
      </c>
      <c r="L37" s="76">
        <f t="shared" ca="1" si="27"/>
        <v>18922.910000000003</v>
      </c>
      <c r="M37" s="41"/>
      <c r="N37" s="76">
        <f t="shared" ca="1" si="21"/>
        <v>5114.3</v>
      </c>
      <c r="O37" s="76">
        <f t="shared" ca="1" si="21"/>
        <v>0</v>
      </c>
      <c r="P37" s="76">
        <f t="shared" ca="1" si="21"/>
        <v>30685.8</v>
      </c>
      <c r="Q37" s="76">
        <f t="shared" ca="1" si="21"/>
        <v>1534.2900000000013</v>
      </c>
      <c r="R37" s="76">
        <f t="shared" ca="1" si="21"/>
        <v>11762.89</v>
      </c>
      <c r="S37" s="41"/>
      <c r="T37" s="76">
        <f t="shared" ca="1" si="13"/>
        <v>45691</v>
      </c>
      <c r="U37" s="76">
        <f t="shared" ca="1" si="22"/>
        <v>7391</v>
      </c>
      <c r="V37" s="40"/>
      <c r="W37" s="77">
        <f t="shared" ca="1" si="17"/>
        <v>5</v>
      </c>
      <c r="X37" s="77">
        <f t="shared" ca="1" si="26"/>
        <v>4</v>
      </c>
      <c r="Y37" s="77">
        <f t="shared" ca="1" si="26"/>
        <v>1</v>
      </c>
      <c r="Z37" s="77">
        <f t="shared" ca="1" si="26"/>
        <v>1</v>
      </c>
      <c r="AA37" s="41"/>
      <c r="AB37" s="77">
        <f t="shared" ca="1" si="23"/>
        <v>1</v>
      </c>
      <c r="AC37" s="77">
        <f t="shared" ca="1" si="23"/>
        <v>5</v>
      </c>
      <c r="AD37" s="77">
        <f t="shared" ca="1" si="24"/>
        <v>5</v>
      </c>
      <c r="AE37" s="77">
        <f t="shared" ca="1" si="23"/>
        <v>3</v>
      </c>
      <c r="AF37" s="77">
        <f t="shared" ca="1" si="23"/>
        <v>5</v>
      </c>
      <c r="AG37" s="77" t="str">
        <f t="shared" ca="1" si="23"/>
        <v/>
      </c>
      <c r="AH37" s="77" t="str">
        <f t="shared" ca="1" si="23"/>
        <v/>
      </c>
      <c r="AI37" s="77" t="str">
        <f t="shared" ca="1" si="23"/>
        <v/>
      </c>
      <c r="AJ37" s="41"/>
      <c r="AK37" s="77">
        <f t="shared" ca="1" si="25"/>
        <v>4</v>
      </c>
      <c r="AL37" s="77">
        <f t="shared" ca="1" si="25"/>
        <v>3</v>
      </c>
      <c r="AM37" s="80"/>
      <c r="AN37" s="77">
        <f t="shared" ca="1" si="16"/>
        <v>3</v>
      </c>
    </row>
    <row r="38" spans="3:40" x14ac:dyDescent="0.4">
      <c r="C38" s="17" t="str">
        <f>Indicator_Input!$B36</f>
        <v>Lindon</v>
      </c>
      <c r="D38" s="17" t="str">
        <f>Indicator_Input!$C36</f>
        <v>Ered Luin</v>
      </c>
      <c r="E38" s="76">
        <f t="shared" ca="1" si="27"/>
        <v>0</v>
      </c>
      <c r="F38" s="76">
        <f t="shared" ca="1" si="27"/>
        <v>45914.333333333328</v>
      </c>
      <c r="G38" s="76">
        <f t="shared" ca="1" si="27"/>
        <v>0</v>
      </c>
      <c r="H38" s="76">
        <f t="shared" ca="1" si="27"/>
        <v>0</v>
      </c>
      <c r="I38" s="76">
        <f t="shared" ca="1" si="27"/>
        <v>62581</v>
      </c>
      <c r="J38" s="76">
        <f t="shared" ca="1" si="27"/>
        <v>0</v>
      </c>
      <c r="K38" s="76">
        <f t="shared" ca="1" si="27"/>
        <v>0</v>
      </c>
      <c r="L38" s="76">
        <f t="shared" ca="1" si="27"/>
        <v>47561.56</v>
      </c>
      <c r="M38" s="41"/>
      <c r="N38" s="76">
        <f t="shared" ca="1" si="21"/>
        <v>14393.630000000001</v>
      </c>
      <c r="O38" s="76">
        <f t="shared" ca="1" si="21"/>
        <v>15645.25</v>
      </c>
      <c r="P38" s="76">
        <f t="shared" ca="1" si="21"/>
        <v>43806.7</v>
      </c>
      <c r="Q38" s="76">
        <f t="shared" ca="1" si="21"/>
        <v>36922.790000000008</v>
      </c>
      <c r="R38" s="76">
        <f t="shared" ca="1" si="21"/>
        <v>45684.13</v>
      </c>
      <c r="S38" s="41"/>
      <c r="T38" s="76">
        <f t="shared" ca="1" si="13"/>
        <v>11</v>
      </c>
      <c r="U38" s="76">
        <f t="shared" ca="1" si="22"/>
        <v>7837</v>
      </c>
      <c r="V38" s="40"/>
      <c r="W38" s="77">
        <f t="shared" ca="1" si="17"/>
        <v>5</v>
      </c>
      <c r="X38" s="77">
        <f t="shared" ca="1" si="26"/>
        <v>5</v>
      </c>
      <c r="Y38" s="77">
        <f t="shared" ca="1" si="26"/>
        <v>5</v>
      </c>
      <c r="Z38" s="77">
        <f t="shared" ca="1" si="26"/>
        <v>1</v>
      </c>
      <c r="AA38" s="41"/>
      <c r="AB38" s="77">
        <f t="shared" ca="1" si="23"/>
        <v>1</v>
      </c>
      <c r="AC38" s="77">
        <f t="shared" ca="1" si="23"/>
        <v>5</v>
      </c>
      <c r="AD38" s="77">
        <f t="shared" ca="1" si="24"/>
        <v>5</v>
      </c>
      <c r="AE38" s="77">
        <f t="shared" ca="1" si="23"/>
        <v>5</v>
      </c>
      <c r="AF38" s="77">
        <f t="shared" ca="1" si="23"/>
        <v>5</v>
      </c>
      <c r="AG38" s="77" t="str">
        <f t="shared" ca="1" si="23"/>
        <v/>
      </c>
      <c r="AH38" s="77" t="str">
        <f t="shared" ca="1" si="23"/>
        <v/>
      </c>
      <c r="AI38" s="77" t="str">
        <f t="shared" ca="1" si="23"/>
        <v/>
      </c>
      <c r="AJ38" s="41"/>
      <c r="AK38" s="77">
        <f t="shared" ca="1" si="25"/>
        <v>4</v>
      </c>
      <c r="AL38" s="77">
        <f t="shared" ca="1" si="25"/>
        <v>3</v>
      </c>
      <c r="AM38" s="80"/>
      <c r="AN38" s="77">
        <f t="shared" ref="AN38:AN61" ca="1" si="28">IF(INDEX(INDIRECT(AN$4),MATCH($D38,IN_Admin2,0))="","",
IF(AND(INDEX(Logical_Operator,MATCH(AN$4,PiN_Code,0))="&lt;",INDEX(EndFormula,MATCH(AN$4,PiN_Code,0))="Severity 1"),
IF(INDEX(INDIRECT(AN$4),MATCH($D38,IN_Admin2,0))&lt;INDEX(Severity_5,MATCH(AN$4,PiN_Code,0)),5,
IF(INDEX(INDIRECT(AN$4),MATCH($D38,IN_Admin2,0))&lt;INDEX(Severity_4,MATCH(AN$4,PiN_Code,0)),4,
IF(INDEX(INDIRECT(AN$4),MATCH($D38,IN_Admin2,0))&lt;INDEX(Severity_3,MATCH(AN$4,PiN_Code,0)),3,
IF(INDEX(INDIRECT(AN$4),MATCH($D38,IN_Admin2,0))&lt;INDEX(Severity_2,MATCH(AN$4,PiN_Code,0)),2,1)))),
IF(AND(INDEX(Logical_Operator,MATCH(AN$4,PiN_Code,0))="&lt;",INDEX(EndFormula,MATCH(AN$4,PiN_Code,0))="Severity 1 &amp; 2"),
IF(INDEX(INDIRECT(AN$4),MATCH($D38,IN_Admin2,0))&lt;INDEX(Severity_5,MATCH(AN$4,PiN_Code,0)),5,
IF(INDEX(INDIRECT(AN$4),MATCH($D38,IN_Admin2,0))&lt;INDEX(Severity_4,MATCH(AN$4,PiN_Code,0)),4,
IF(INDEX(INDIRECT(AN$4),MATCH($D38,IN_Admin2,0))&lt;INDEX(Severity_3,MATCH(AN$4,PiN_Code,0)),3,1))),
IF(AND(INDEX(Logical_Operator,MATCH(AN$4,PiN_Code,0))="&lt;",INDEX(EndFormula,MATCH(AN$4,PiN_Code,0))="Severity 5, no 2"),
IF(INDEX(INDIRECT(AN$4),MATCH($D38,IN_Admin2,0))&lt;INDEX(Severity_1,MATCH(AN$4,PiN_Code,0)),1,
IF(INDEX(INDIRECT(AN$4),MATCH($D38,IN_Admin2,0))&lt;INDEX(Severity_3,MATCH(AN$4,PiN_Code,0)),3,
IF(INDEX(INDIRECT(AN$4),MATCH($D38,IN_Admin2,0))&lt;INDEX(Severity_4,MATCH(AN$4,PiN_Code,0)),4,5))),
IF(AND(INDEX(Logical_Operator,MATCH(AN$4,PiN_Code,0))="&lt;",INDEX(EndFormula,MATCH(AN$4,PiN_Code,0))="Severity 5"),
IF(INDEX(INDIRECT(AN$4),MATCH($D38,IN_Admin2,0))&lt;INDEX(Severity_1,MATCH(AN$4,PiN_Code,0)),1,
IF(INDEX(INDIRECT(AN$4),MATCH($D38,IN_Admin2,0))&lt;INDEX(Severity_2,MATCH(AN$4,PiN_Code,0)),2,
IF(INDEX(INDIRECT(AN$4),MATCH($D38,IN_Admin2,0))&lt;INDEX(Severity_3,MATCH(AN$4,PiN_Code,0)),3,
IF(INDEX(INDIRECT(AN$4),MATCH($D38,IN_Admin2,0))&lt;INDEX(Severity_4,MATCH(AN$4,PiN_Code,0)),4,5)))),
IF(AND(INDEX(Logical_Operator,MATCH(AN$4,PiN_Code,0))="&lt;=",INDEX(EndFormula,MATCH(AN$4,PiN_Code,0))="Severity 1"),
IF(INDEX(INDIRECT(AN$4),MATCH($D38,IN_Admin2,0))&lt;=INDEX(Severity_5,MATCH(AN$4,PiN_Code,0)),5,
IF(INDEX(INDIRECT(AN$4),MATCH($D38,IN_Admin2,0))&lt;=INDEX(Severity_4,MATCH(AN$4,PiN_Code,0)),4,
IF(INDEX(INDIRECT(AN$4),MATCH($D38,IN_Admin2,0))&lt;=INDEX(Severity_3,MATCH(AN$4,PiN_Code,0)),3,
IF(INDEX(INDIRECT(AN$4),MATCH($D38,IN_Admin2,0))&lt;=INDEX(Severity_2,MATCH(AN$4,PiN_Code,0)),2,1)))),
IF(AND(INDEX(Logical_Operator,MATCH(AN$4,PiN_Code,0))="&lt;=",INDEX(EndFormula,MATCH(AN$4,PiN_Code,0))="Severity 1 &amp; 2"),
IF(INDEX(INDIRECT(AN$4),MATCH($D38,IN_Admin2,0))&lt;=INDEX(Severity_5,MATCH(AN$4,PiN_Code,0)),5,
IF(INDEX(INDIRECT(AN$4),MATCH($D38,IN_Admin2,0))&lt;=INDEX(Severity_4,MATCH(AN$4,PiN_Code,0)),4,
IF(INDEX(INDIRECT(AN$4),MATCH($D38,IN_Admin2,0))&lt;=INDEX(Severity_3,MATCH(AN$4,PiN_Code,0)),3,1))),
IF(AND(INDEX(Logical_Operator,MATCH(AN$4,PiN_Code,0))="&lt;=",INDEX(EndFormula,MATCH(AN$4,PiN_Code,0))="Severity 5, no 2"),
IF(INDEX(INDIRECT(AN$4),MATCH($D38,IN_Admin2,0))&lt;=INDEX(Severity_1,MATCH(AN$4,PiN_Code,0)),1,
IF(INDEX(INDIRECT(AN$4),MATCH($D38,IN_Admin2,0))&lt;=INDEX(Severity_3,MATCH(AN$4,PiN_Code,0)),3,
IF(INDEX(INDIRECT(AN$4),MATCH($D38,IN_Admin2,0))&lt;=INDEX(Severity_4,MATCH(AN$4,PiN_Code,0)),4,5))),
IF(AND(INDEX(Logical_Operator,MATCH(AN$4,PiN_Code,0))="&lt;=",INDEX(EndFormula,MATCH(AN$4,PiN_Code,0))="Severity 5"),
IF(INDEX(INDIRECT(AN$4),MATCH($D38,IN_Admin2,0))&lt;=INDEX(Severity_1,MATCH(AN$4,PiN_Code,0)),1,
IF(INDEX(INDIRECT(AN$4),MATCH($D38,IN_Admin2,0))&lt;=INDEX(Severity_2,MATCH(AN$4,PiN_Code,0)),2,
IF(INDEX(INDIRECT(AN$4),MATCH($D38,IN_Admin2,0))&lt;=INDEX(Severity_3,MATCH(AN$4,PiN_Code,0)),3,
IF(INDEX(INDIRECT(AN$4),MATCH($D38,IN_Admin2,0))&lt;=INDEX(Severity_4,MATCH(AN$4,PiN_Code,0)),4,5)))),
IF(AND(INDEX(Logical_Operator,MATCH(AN$4,PiN_Code,0))="&gt;=",INDEX(EndFormula,MATCH(AN$4,PiN_Code,0))="Severity 1"),
IF(INDEX(INDIRECT(AN$4),MATCH($D38,IN_Admin2,0))&gt;=INDEX(Severity_5,MATCH(AN$4,PiN_Code,0)),5,
IF(INDEX(INDIRECT(AN$4),MATCH($D38,IN_Admin2,0))&gt;=INDEX(Severity_4,MATCH(AN$4,PiN_Code,0)),4,
IF(INDEX(INDIRECT(AN$4),MATCH($D38,IN_Admin2,0))&gt;=INDEX(Severity_3,MATCH(AN$4,PiN_Code,0)),3,
IF(INDEX(INDIRECT(AN$4),MATCH($D38,IN_Admin2,0))&gt;=INDEX(Severity_2,MATCH(AN$4,PiN_Code,0)),2,1)))),
IF(AND(INDEX(Logical_Operator,MATCH(AN$4,PiN_Code,0))="&gt;=",INDEX(EndFormula,MATCH(AN$4,PiN_Code,0))="Severity 1 &amp; 2"),
IF(INDEX(INDIRECT(AN$4),MATCH($D38,IN_Admin2,0))&gt;=INDEX(Severity_5,MATCH(AN$4,PiN_Code,0)),5,
IF(INDEX(INDIRECT(AN$4),MATCH($D38,IN_Admin2,0))&gt;=INDEX(Severity_4,MATCH(AN$4,PiN_Code,0)),4,
IF(INDEX(INDIRECT(AN$4),MATCH($D38,IN_Admin2,0))&gt;=INDEX(Severity_3,MATCH(AN$4,PiN_Code,0)),3,1))),
IF(AND(INDEX(Logical_Operator,MATCH(AN$4,PiN_Code,0))="&gt;=",INDEX(EndFormula,MATCH(AN$4,PiN_Code,0))="Severity 5, no 2"),
IF(INDEX(INDIRECT(AN$4),MATCH($D38,IN_Admin2,0))&gt;=INDEX(Severity_1,MATCH(AN$4,PiN_Code,0)),1,
IF(INDEX(INDIRECT(AN$4),MATCH($D38,IN_Admin2,0))&gt;=INDEX(Severity_3,MATCH(AN$4,PiN_Code,0)),3,
IF(INDEX(INDIRECT(AN$4),MATCH($D38,IN_Admin2,0))&gt;=INDEX(Severity_4,MATCH(AN$4,PiN_Code,0)),4,5))),
IF(AND(INDEX(Logical_Operator,MATCH(AN$4,PiN_Code,0))="&gt;=",INDEX(EndFormula,MATCH(AN$4,PiN_Code,0))="Severity 5"),
IF(INDEX(INDIRECT(AN$4),MATCH($D38,IN_Admin2,0))&gt;=INDEX(Severity_1,MATCH(AN$4,PiN_Code,0)),1,
IF(INDEX(INDIRECT(AN$4),MATCH($D38,IN_Admin2,0))&gt;=INDEX(Severity_2,MATCH(AN$4,PiN_Code,0)),2,
IF(INDEX(INDIRECT(AN$4),MATCH($D38,IN_Admin2,0))&gt;=INDEX(Severity_3,MATCH(AN$4,PiN_Code,0)),3,
IF(INDEX(INDIRECT(AN$4),MATCH($D38,IN_Admin2,0))&gt;=INDEX(Severity_4,MATCH(AN$4,PiN_Code,0)),4,5)))),
IF(AND(INDEX(Logical_Operator,MATCH(AN$4,PiN_Code,0))="&gt;",INDEX(EndFormula,MATCH(AN$4,PiN_Code,0))="Severity 1"),
IF(INDEX(INDIRECT(AN$4),MATCH($D38,IN_Admin2,0))&gt;INDEX(Severity_5,MATCH(AN$4,PiN_Code,0)),5,
IF(INDEX(INDIRECT(AN$4),MATCH($D38,IN_Admin2,0))&gt;INDEX(Severity_4,MATCH(AN$4,PiN_Code,0)),4,
IF(INDEX(INDIRECT(AN$4),MATCH($D38,IN_Admin2,0))&gt;INDEX(Severity_3,MATCH(AN$4,PiN_Code,0)),3,
IF(INDEX(INDIRECT(AN$4),MATCH($D38,IN_Admin2,0))&gt;INDEX(Severity_2,MATCH(AN$4,PiN_Code,0)),2,1)))),
IF(AND(INDEX(Logical_Operator,MATCH(AN$4,PiN_Code,0))="&gt;",INDEX(EndFormula,MATCH(AN$4,PiN_Code,0))="Severity 1 &amp; 2"),
IF(INDEX(INDIRECT(AN$4),MATCH($D38,IN_Admin2,0))&gt;INDEX(Severity_5,MATCH(AN$4,PiN_Code,0)),5,
IF(INDEX(INDIRECT(AN$4),MATCH($D38,IN_Admin2,0))&gt;INDEX(Severity_4,MATCH(AN$4,PiN_Code,0)),4,
IF(INDEX(INDIRECT(AN$4),MATCH($D38,IN_Admin2,0))&gt;INDEX(Severity_3,MATCH(AN$4,PiN_Code,0)),3,1))),
IF(AND(INDEX(Logical_Operator,MATCH(AN$4,PiN_Code,0))="&gt;",INDEX(EndFormula,MATCH(AN$4,PiN_Code,0))="Severity 5, no 2"),
IF(INDEX(INDIRECT(AN$4),MATCH($D38,IN_Admin2,0))&gt;INDEX(Severity_1,MATCH(AN$4,PiN_Code,0)),1,
IF(INDEX(INDIRECT(AN$4),MATCH($D38,IN_Admin2,0))&gt;INDEX(Severity_3,MATCH(AN$4,PiN_Code,0)),3,
IF(INDEX(INDIRECT(AN$4),MATCH($D38,IN_Admin2,0))&gt;INDEX(Severity_4,MATCH(AN$4,PiN_Code,0)),4,5))),
IF(AND(INDEX(Logical_Operator,MATCH(AN$4,PiN_Code,0))="&gt;",INDEX(EndFormula,MATCH(AN$4,PiN_Code,0))="Severity 5"),
IF(INDEX(INDIRECT(AN$4),MATCH($D38,IN_Admin2,0))&gt;INDEX(Severity_1,MATCH(AN$4,PiN_Code,0)),1,
IF(INDEX(INDIRECT(AN$4),MATCH($D38,IN_Admin2,0))&gt;INDEX(Severity_2,MATCH(AN$4,PiN_Code,0)),2,
IF(INDEX(INDIRECT(AN$4),MATCH($D38,IN_Admin2,0))&gt;INDEX(Severity_3,MATCH(AN$4,PiN_Code,0)),3,
IF(INDEX(INDIRECT(AN$4),MATCH($D38,IN_Admin2,0))&gt;INDEX(Severity_4,MATCH(AN$4,PiN_Code,0)),4,5)))),
IF(AND(INDEX(Logical_Operator,MATCH(AN$4,PiN_Code,0))="=",INDEX(EndFormula,MATCH(AN$4,PiN_Code,0))="Severity 1"),
IF(INDEX(INDIRECT(AN$4),MATCH($D38,IN_Admin2,0))=INDEX(Severity_5,MATCH(AN$4,PiN_Code,0)),5,
IF(INDEX(INDIRECT(AN$4),MATCH($D38,IN_Admin2,0))=INDEX(Severity_4,MATCH(AN$4,PiN_Code,0)),4,
IF(INDEX(INDIRECT(AN$4),MATCH($D38,IN_Admin2,0))=INDEX(Severity_3,MATCH(AN$4,PiN_Code,0)),3,
IF(INDEX(INDIRECT(AN$4),MATCH($D38,IN_Admin2,0))=INDEX(Severity_2,MATCH(AN$4,PiN_Code,0)),2,1)))),
IF(INDEX(Logical_Operator,MATCH(AN$4,PiN_Code,0))="=",
INDEX(INDIRECT(AN$4),MATCH($D38,IN_Admin2,0)))))))))))))))))))))</f>
        <v>5</v>
      </c>
    </row>
    <row r="39" spans="3:40" x14ac:dyDescent="0.4">
      <c r="C39" s="17" t="str">
        <f>Indicator_Input!$B37</f>
        <v>Lindon</v>
      </c>
      <c r="D39" s="17" t="str">
        <f>Indicator_Input!$C37</f>
        <v>Forlindon</v>
      </c>
      <c r="E39" s="76">
        <f t="shared" ca="1" si="27"/>
        <v>0</v>
      </c>
      <c r="F39" s="76">
        <f t="shared" ca="1" si="27"/>
        <v>0</v>
      </c>
      <c r="G39" s="76">
        <f t="shared" ca="1" si="27"/>
        <v>0</v>
      </c>
      <c r="H39" s="76">
        <f t="shared" ca="1" si="27"/>
        <v>675.24000000000012</v>
      </c>
      <c r="I39" s="76">
        <f t="shared" ca="1" si="27"/>
        <v>0</v>
      </c>
      <c r="J39" s="76">
        <f t="shared" ca="1" si="27"/>
        <v>0</v>
      </c>
      <c r="K39" s="76">
        <f t="shared" ca="1" si="27"/>
        <v>0</v>
      </c>
      <c r="L39" s="76">
        <f t="shared" ca="1" si="27"/>
        <v>794.40000000000032</v>
      </c>
      <c r="M39" s="41"/>
      <c r="N39" s="76">
        <f t="shared" ca="1" si="21"/>
        <v>317.76</v>
      </c>
      <c r="O39" s="76">
        <f t="shared" ca="1" si="21"/>
        <v>1628.5200000000002</v>
      </c>
      <c r="P39" s="76">
        <f t="shared" ca="1" si="21"/>
        <v>1271.0399999999997</v>
      </c>
      <c r="Q39" s="76">
        <f t="shared" ca="1" si="21"/>
        <v>2621.52</v>
      </c>
      <c r="R39" s="76">
        <f t="shared" ca="1" si="21"/>
        <v>1866.8400000000001</v>
      </c>
      <c r="S39" s="41"/>
      <c r="T39" s="76">
        <f t="shared" ca="1" si="13"/>
        <v>1717</v>
      </c>
      <c r="U39" s="76">
        <f t="shared" ca="1" si="22"/>
        <v>57</v>
      </c>
      <c r="V39" s="40"/>
      <c r="W39" s="77">
        <f t="shared" ca="1" si="17"/>
        <v>1</v>
      </c>
      <c r="X39" s="77">
        <f t="shared" ca="1" si="26"/>
        <v>1</v>
      </c>
      <c r="Y39" s="77">
        <f t="shared" ca="1" si="26"/>
        <v>1</v>
      </c>
      <c r="Z39" s="77">
        <f t="shared" ca="1" si="26"/>
        <v>1</v>
      </c>
      <c r="AA39" s="41"/>
      <c r="AB39" s="77">
        <f t="shared" ca="1" si="23"/>
        <v>1</v>
      </c>
      <c r="AC39" s="77">
        <f t="shared" ca="1" si="23"/>
        <v>4</v>
      </c>
      <c r="AD39" s="77">
        <f t="shared" ca="1" si="24"/>
        <v>5</v>
      </c>
      <c r="AE39" s="77">
        <f t="shared" ca="1" si="23"/>
        <v>5</v>
      </c>
      <c r="AF39" s="77">
        <f t="shared" ca="1" si="23"/>
        <v>5</v>
      </c>
      <c r="AG39" s="77" t="str">
        <f t="shared" ca="1" si="23"/>
        <v/>
      </c>
      <c r="AH39" s="77" t="str">
        <f t="shared" ca="1" si="23"/>
        <v/>
      </c>
      <c r="AI39" s="77" t="str">
        <f t="shared" ca="1" si="23"/>
        <v/>
      </c>
      <c r="AJ39" s="41"/>
      <c r="AK39" s="77">
        <f t="shared" ca="1" si="25"/>
        <v>1</v>
      </c>
      <c r="AL39" s="77">
        <f t="shared" ca="1" si="25"/>
        <v>2</v>
      </c>
      <c r="AM39" s="80"/>
      <c r="AN39" s="77">
        <f t="shared" ca="1" si="28"/>
        <v>3</v>
      </c>
    </row>
    <row r="40" spans="3:40" x14ac:dyDescent="0.4">
      <c r="C40" s="17" t="str">
        <f>Indicator_Input!$B38</f>
        <v>Lindon</v>
      </c>
      <c r="D40" s="17" t="str">
        <f>Indicator_Input!$C38</f>
        <v>Harlindon</v>
      </c>
      <c r="E40" s="76">
        <f t="shared" ca="1" si="27"/>
        <v>0</v>
      </c>
      <c r="F40" s="76">
        <f t="shared" ca="1" si="27"/>
        <v>54871.444444444445</v>
      </c>
      <c r="G40" s="76">
        <f t="shared" ca="1" si="27"/>
        <v>11427</v>
      </c>
      <c r="H40" s="76">
        <f t="shared" ca="1" si="27"/>
        <v>29582.370000000006</v>
      </c>
      <c r="I40" s="76">
        <f t="shared" ca="1" si="27"/>
        <v>95427</v>
      </c>
      <c r="J40" s="76">
        <f t="shared" ca="1" si="27"/>
        <v>0</v>
      </c>
      <c r="K40" s="76">
        <f t="shared" ca="1" si="27"/>
        <v>0</v>
      </c>
      <c r="L40" s="76">
        <f t="shared" ca="1" si="27"/>
        <v>17176.860000000004</v>
      </c>
      <c r="M40" s="41"/>
      <c r="N40" s="76">
        <f t="shared" ca="1" si="21"/>
        <v>13359.78</v>
      </c>
      <c r="O40" s="76">
        <f t="shared" ca="1" si="21"/>
        <v>41987.88</v>
      </c>
      <c r="P40" s="76">
        <f t="shared" ca="1" si="21"/>
        <v>46759.229999999996</v>
      </c>
      <c r="Q40" s="76">
        <f t="shared" ca="1" si="21"/>
        <v>25765.29</v>
      </c>
      <c r="R40" s="76">
        <f t="shared" ca="1" si="21"/>
        <v>14314.050000000003</v>
      </c>
      <c r="S40" s="41"/>
      <c r="T40" s="76">
        <f t="shared" ca="1" si="13"/>
        <v>69064</v>
      </c>
      <c r="U40" s="76">
        <f t="shared" ca="1" si="22"/>
        <v>1526</v>
      </c>
      <c r="V40" s="40"/>
      <c r="W40" s="77">
        <f t="shared" ca="1" si="17"/>
        <v>3</v>
      </c>
      <c r="X40" s="77">
        <f t="shared" ca="1" si="26"/>
        <v>4</v>
      </c>
      <c r="Y40" s="77">
        <f t="shared" ca="1" si="26"/>
        <v>5</v>
      </c>
      <c r="Z40" s="77">
        <f t="shared" ca="1" si="26"/>
        <v>1</v>
      </c>
      <c r="AA40" s="41"/>
      <c r="AB40" s="77">
        <f t="shared" ca="1" si="23"/>
        <v>1</v>
      </c>
      <c r="AC40" s="77">
        <f t="shared" ca="1" si="23"/>
        <v>5</v>
      </c>
      <c r="AD40" s="77">
        <f t="shared" ca="1" si="24"/>
        <v>5</v>
      </c>
      <c r="AE40" s="77">
        <f t="shared" ca="1" si="23"/>
        <v>5</v>
      </c>
      <c r="AF40" s="77">
        <f t="shared" ca="1" si="23"/>
        <v>5</v>
      </c>
      <c r="AG40" s="77" t="str">
        <f t="shared" ca="1" si="23"/>
        <v/>
      </c>
      <c r="AH40" s="77" t="str">
        <f t="shared" ca="1" si="23"/>
        <v/>
      </c>
      <c r="AI40" s="77" t="str">
        <f t="shared" ca="1" si="23"/>
        <v/>
      </c>
      <c r="AJ40" s="41"/>
      <c r="AK40" s="77">
        <f t="shared" ca="1" si="25"/>
        <v>1</v>
      </c>
      <c r="AL40" s="77">
        <f t="shared" ca="1" si="25"/>
        <v>3</v>
      </c>
      <c r="AM40" s="80"/>
      <c r="AN40" s="77">
        <f t="shared" ca="1" si="28"/>
        <v>3</v>
      </c>
    </row>
    <row r="41" spans="3:40" x14ac:dyDescent="0.4">
      <c r="C41" s="17" t="str">
        <f>Indicator_Input!$B39</f>
        <v>Mordor</v>
      </c>
      <c r="D41" s="17" t="str">
        <f>Indicator_Input!$C39</f>
        <v>Gorgoroth</v>
      </c>
      <c r="E41" s="76">
        <f t="shared" ca="1" si="27"/>
        <v>0</v>
      </c>
      <c r="F41" s="76">
        <f t="shared" ca="1" si="27"/>
        <v>40947.111111111109</v>
      </c>
      <c r="G41" s="76">
        <f t="shared" ca="1" si="27"/>
        <v>39836</v>
      </c>
      <c r="H41" s="76">
        <f t="shared" ca="1" si="27"/>
        <v>12565.560000000005</v>
      </c>
      <c r="I41" s="76">
        <f t="shared" ca="1" si="27"/>
        <v>59836</v>
      </c>
      <c r="J41" s="76">
        <f t="shared" ca="1" si="27"/>
        <v>59836</v>
      </c>
      <c r="K41" s="76">
        <f t="shared" ca="1" si="27"/>
        <v>0</v>
      </c>
      <c r="L41" s="76">
        <f t="shared" ca="1" si="27"/>
        <v>13762.280000000006</v>
      </c>
      <c r="M41" s="41"/>
      <c r="N41" s="76">
        <f t="shared" ca="1" si="21"/>
        <v>11368.84</v>
      </c>
      <c r="O41" s="76">
        <f t="shared" ca="1" si="21"/>
        <v>4786.8800000000047</v>
      </c>
      <c r="P41" s="76">
        <f t="shared" ca="1" si="21"/>
        <v>26926.199999999997</v>
      </c>
      <c r="Q41" s="76">
        <f t="shared" ca="1" si="21"/>
        <v>9573.760000000002</v>
      </c>
      <c r="R41" s="76">
        <f t="shared" ca="1" si="21"/>
        <v>11967.200000000004</v>
      </c>
      <c r="S41" s="41"/>
      <c r="T41" s="76">
        <f t="shared" ca="1" si="13"/>
        <v>265</v>
      </c>
      <c r="U41" s="76">
        <f t="shared" ca="1" si="22"/>
        <v>6130</v>
      </c>
      <c r="V41" s="40"/>
      <c r="W41" s="77">
        <f t="shared" ca="1" si="17"/>
        <v>4</v>
      </c>
      <c r="X41" s="77">
        <f t="shared" ca="1" si="26"/>
        <v>4</v>
      </c>
      <c r="Y41" s="77">
        <f t="shared" ca="1" si="26"/>
        <v>5</v>
      </c>
      <c r="Z41" s="77">
        <f t="shared" ca="1" si="26"/>
        <v>1</v>
      </c>
      <c r="AA41" s="41"/>
      <c r="AB41" s="77">
        <f t="shared" ca="1" si="23"/>
        <v>1</v>
      </c>
      <c r="AC41" s="77">
        <f t="shared" ca="1" si="23"/>
        <v>5</v>
      </c>
      <c r="AD41" s="77">
        <f t="shared" ca="1" si="24"/>
        <v>5</v>
      </c>
      <c r="AE41" s="77">
        <f t="shared" ca="1" si="23"/>
        <v>5</v>
      </c>
      <c r="AF41" s="77">
        <f t="shared" ca="1" si="23"/>
        <v>5</v>
      </c>
      <c r="AG41" s="77" t="str">
        <f t="shared" ca="1" si="23"/>
        <v/>
      </c>
      <c r="AH41" s="77" t="str">
        <f t="shared" ca="1" si="23"/>
        <v/>
      </c>
      <c r="AI41" s="77" t="str">
        <f t="shared" ca="1" si="23"/>
        <v/>
      </c>
      <c r="AJ41" s="41"/>
      <c r="AK41" s="77">
        <f t="shared" ca="1" si="25"/>
        <v>3</v>
      </c>
      <c r="AL41" s="77">
        <f t="shared" ca="1" si="25"/>
        <v>3</v>
      </c>
      <c r="AM41" s="80"/>
      <c r="AN41" s="77">
        <f t="shared" ca="1" si="28"/>
        <v>5</v>
      </c>
    </row>
    <row r="42" spans="3:40" x14ac:dyDescent="0.4">
      <c r="C42" s="17" t="str">
        <f>Indicator_Input!$B40</f>
        <v>Mordor</v>
      </c>
      <c r="D42" s="17" t="str">
        <f>Indicator_Input!$C40</f>
        <v>Lithlad</v>
      </c>
      <c r="E42" s="76">
        <f t="shared" ca="1" si="27"/>
        <v>0</v>
      </c>
      <c r="F42" s="76">
        <f t="shared" ca="1" si="27"/>
        <v>0</v>
      </c>
      <c r="G42" s="76">
        <f t="shared" ca="1" si="27"/>
        <v>5936</v>
      </c>
      <c r="H42" s="76">
        <f t="shared" ca="1" si="27"/>
        <v>1092.9600000000009</v>
      </c>
      <c r="I42" s="76">
        <f t="shared" ca="1" si="27"/>
        <v>0</v>
      </c>
      <c r="J42" s="76">
        <f t="shared" ca="1" si="27"/>
        <v>0</v>
      </c>
      <c r="K42" s="76">
        <f t="shared" ca="1" si="27"/>
        <v>0</v>
      </c>
      <c r="L42" s="76">
        <f t="shared" ca="1" si="27"/>
        <v>5762.880000000001</v>
      </c>
      <c r="M42" s="41"/>
      <c r="N42" s="76">
        <f t="shared" ca="1" si="21"/>
        <v>2384.64</v>
      </c>
      <c r="O42" s="76">
        <f t="shared" ca="1" si="21"/>
        <v>1490.4000000000003</v>
      </c>
      <c r="P42" s="76">
        <f t="shared" ca="1" si="21"/>
        <v>3080.1599999999994</v>
      </c>
      <c r="Q42" s="76">
        <f t="shared" ca="1" si="21"/>
        <v>4371.84</v>
      </c>
      <c r="R42" s="76">
        <f t="shared" ca="1" si="21"/>
        <v>7948.8</v>
      </c>
      <c r="S42" s="41"/>
      <c r="T42" s="76">
        <f t="shared" ca="1" si="13"/>
        <v>5017</v>
      </c>
      <c r="U42" s="76">
        <f t="shared" ca="1" si="22"/>
        <v>120</v>
      </c>
      <c r="V42" s="40"/>
      <c r="W42" s="77">
        <f t="shared" ca="1" si="17"/>
        <v>5</v>
      </c>
      <c r="X42" s="77">
        <f t="shared" ca="1" si="26"/>
        <v>1</v>
      </c>
      <c r="Y42" s="77">
        <f t="shared" ca="1" si="26"/>
        <v>1</v>
      </c>
      <c r="Z42" s="77">
        <f t="shared" ca="1" si="26"/>
        <v>1</v>
      </c>
      <c r="AA42" s="41"/>
      <c r="AB42" s="77">
        <f t="shared" ca="1" si="23"/>
        <v>1</v>
      </c>
      <c r="AC42" s="77">
        <f t="shared" ca="1" si="23"/>
        <v>5</v>
      </c>
      <c r="AD42" s="77">
        <f t="shared" ca="1" si="24"/>
        <v>5</v>
      </c>
      <c r="AE42" s="77">
        <f t="shared" ca="1" si="23"/>
        <v>5</v>
      </c>
      <c r="AF42" s="77">
        <f t="shared" ca="1" si="23"/>
        <v>5</v>
      </c>
      <c r="AG42" s="77" t="str">
        <f t="shared" ca="1" si="23"/>
        <v/>
      </c>
      <c r="AH42" s="77" t="str">
        <f t="shared" ca="1" si="23"/>
        <v/>
      </c>
      <c r="AI42" s="77" t="str">
        <f t="shared" ca="1" si="23"/>
        <v/>
      </c>
      <c r="AJ42" s="41"/>
      <c r="AK42" s="77">
        <f t="shared" ca="1" si="25"/>
        <v>4</v>
      </c>
      <c r="AL42" s="77">
        <f t="shared" ca="1" si="25"/>
        <v>1</v>
      </c>
      <c r="AM42" s="80"/>
      <c r="AN42" s="77">
        <f t="shared" ca="1" si="28"/>
        <v>2</v>
      </c>
    </row>
    <row r="43" spans="3:40" x14ac:dyDescent="0.4">
      <c r="C43" s="17" t="str">
        <f>Indicator_Input!$B41</f>
        <v>Mordor</v>
      </c>
      <c r="D43" s="17" t="str">
        <f>Indicator_Input!$C41</f>
        <v>Nurn</v>
      </c>
      <c r="E43" s="76">
        <f t="shared" ca="1" si="27"/>
        <v>0</v>
      </c>
      <c r="F43" s="76">
        <f t="shared" ca="1" si="27"/>
        <v>0</v>
      </c>
      <c r="G43" s="76">
        <f t="shared" ca="1" si="27"/>
        <v>0</v>
      </c>
      <c r="H43" s="76">
        <f t="shared" ca="1" si="27"/>
        <v>0</v>
      </c>
      <c r="I43" s="76">
        <f t="shared" ca="1" si="27"/>
        <v>0</v>
      </c>
      <c r="J43" s="76">
        <f t="shared" ca="1" si="27"/>
        <v>0</v>
      </c>
      <c r="K43" s="76">
        <f t="shared" ca="1" si="27"/>
        <v>0</v>
      </c>
      <c r="L43" s="76">
        <f t="shared" ca="1" si="27"/>
        <v>10086.44</v>
      </c>
      <c r="M43" s="41"/>
      <c r="N43" s="76">
        <f t="shared" ca="1" si="21"/>
        <v>2076.6200000000003</v>
      </c>
      <c r="O43" s="76">
        <f t="shared" ca="1" si="21"/>
        <v>7119.84</v>
      </c>
      <c r="P43" s="76">
        <f t="shared" ca="1" si="21"/>
        <v>12014.73</v>
      </c>
      <c r="Q43" s="76">
        <f t="shared" ca="1" si="21"/>
        <v>2373.2800000000007</v>
      </c>
      <c r="R43" s="76">
        <f t="shared" ca="1" si="21"/>
        <v>7861.4900000000007</v>
      </c>
      <c r="S43" s="41"/>
      <c r="T43" s="76">
        <f t="shared" ca="1" si="13"/>
        <v>5827</v>
      </c>
      <c r="U43" s="76">
        <f t="shared" ca="1" si="22"/>
        <v>1815</v>
      </c>
      <c r="V43" s="40"/>
      <c r="W43" s="77">
        <f t="shared" ca="1" si="17"/>
        <v>5</v>
      </c>
      <c r="X43" s="77">
        <f t="shared" ca="1" si="26"/>
        <v>1</v>
      </c>
      <c r="Y43" s="77">
        <f t="shared" ca="1" si="26"/>
        <v>1</v>
      </c>
      <c r="Z43" s="77">
        <f t="shared" ca="1" si="26"/>
        <v>1</v>
      </c>
      <c r="AA43" s="41"/>
      <c r="AB43" s="77">
        <f t="shared" ca="1" si="23"/>
        <v>1</v>
      </c>
      <c r="AC43" s="77">
        <f t="shared" ca="1" si="23"/>
        <v>5</v>
      </c>
      <c r="AD43" s="77">
        <f t="shared" ca="1" si="24"/>
        <v>5</v>
      </c>
      <c r="AE43" s="77">
        <f t="shared" ca="1" si="23"/>
        <v>5</v>
      </c>
      <c r="AF43" s="77">
        <f t="shared" ca="1" si="23"/>
        <v>5</v>
      </c>
      <c r="AG43" s="77" t="str">
        <f t="shared" ca="1" si="23"/>
        <v/>
      </c>
      <c r="AH43" s="77" t="str">
        <f t="shared" ca="1" si="23"/>
        <v/>
      </c>
      <c r="AI43" s="77" t="str">
        <f t="shared" ca="1" si="23"/>
        <v/>
      </c>
      <c r="AJ43" s="41"/>
      <c r="AK43" s="77">
        <f t="shared" ca="1" si="25"/>
        <v>4</v>
      </c>
      <c r="AL43" s="77">
        <f t="shared" ca="1" si="25"/>
        <v>3</v>
      </c>
      <c r="AM43" s="80"/>
      <c r="AN43" s="77">
        <f t="shared" ca="1" si="28"/>
        <v>3</v>
      </c>
    </row>
    <row r="44" spans="3:40" x14ac:dyDescent="0.4">
      <c r="C44" s="17" t="str">
        <f>Indicator_Input!$B42</f>
        <v>Mordor</v>
      </c>
      <c r="D44" s="17" t="str">
        <f>Indicator_Input!$C42</f>
        <v>Udun</v>
      </c>
      <c r="E44" s="76">
        <f t="shared" ca="1" si="27"/>
        <v>0</v>
      </c>
      <c r="F44" s="76">
        <f t="shared" ca="1" si="27"/>
        <v>0</v>
      </c>
      <c r="G44" s="76">
        <f t="shared" ca="1" si="27"/>
        <v>0</v>
      </c>
      <c r="H44" s="76">
        <f t="shared" ca="1" si="27"/>
        <v>0</v>
      </c>
      <c r="I44" s="76">
        <f t="shared" ca="1" si="27"/>
        <v>0</v>
      </c>
      <c r="J44" s="76">
        <f t="shared" ca="1" si="27"/>
        <v>0</v>
      </c>
      <c r="K44" s="76">
        <f t="shared" ca="1" si="27"/>
        <v>0</v>
      </c>
      <c r="L44" s="76">
        <f t="shared" ca="1" si="27"/>
        <v>570.95999999999992</v>
      </c>
      <c r="M44" s="41"/>
      <c r="N44" s="76">
        <f t="shared" ca="1" si="21"/>
        <v>904.02</v>
      </c>
      <c r="O44" s="76">
        <f t="shared" ca="1" si="21"/>
        <v>1855.6200000000001</v>
      </c>
      <c r="P44" s="76">
        <f t="shared" ca="1" si="21"/>
        <v>2616.8999999999996</v>
      </c>
      <c r="Q44" s="76">
        <f t="shared" ca="1" si="21"/>
        <v>1379.8200000000002</v>
      </c>
      <c r="R44" s="76">
        <f t="shared" ca="1" si="21"/>
        <v>1665.3</v>
      </c>
      <c r="S44" s="41"/>
      <c r="T44" s="76">
        <f t="shared" ca="1" si="13"/>
        <v>2772</v>
      </c>
      <c r="U44" s="76">
        <f t="shared" ca="1" si="22"/>
        <v>555</v>
      </c>
      <c r="V44" s="40"/>
      <c r="W44" s="77">
        <f t="shared" ca="1" si="17"/>
        <v>4</v>
      </c>
      <c r="X44" s="77">
        <f t="shared" ca="1" si="26"/>
        <v>1</v>
      </c>
      <c r="Y44" s="77">
        <f t="shared" ca="1" si="26"/>
        <v>1</v>
      </c>
      <c r="Z44" s="77">
        <f t="shared" ca="1" si="26"/>
        <v>1</v>
      </c>
      <c r="AA44" s="41"/>
      <c r="AB44" s="77">
        <f t="shared" ca="1" si="23"/>
        <v>1</v>
      </c>
      <c r="AC44" s="77">
        <f t="shared" ca="1" si="23"/>
        <v>5</v>
      </c>
      <c r="AD44" s="77">
        <f t="shared" ca="1" si="24"/>
        <v>5</v>
      </c>
      <c r="AE44" s="77">
        <f t="shared" ca="1" si="23"/>
        <v>5</v>
      </c>
      <c r="AF44" s="77">
        <f t="shared" ca="1" si="23"/>
        <v>5</v>
      </c>
      <c r="AG44" s="77" t="str">
        <f t="shared" ca="1" si="23"/>
        <v/>
      </c>
      <c r="AH44" s="77" t="str">
        <f t="shared" ca="1" si="23"/>
        <v/>
      </c>
      <c r="AI44" s="77" t="str">
        <f t="shared" ca="1" si="23"/>
        <v/>
      </c>
      <c r="AJ44" s="41"/>
      <c r="AK44" s="77">
        <f t="shared" ca="1" si="25"/>
        <v>1</v>
      </c>
      <c r="AL44" s="77">
        <f t="shared" ca="1" si="25"/>
        <v>3</v>
      </c>
      <c r="AM44" s="80"/>
      <c r="AN44" s="77">
        <f t="shared" ca="1" si="28"/>
        <v>4</v>
      </c>
    </row>
    <row r="45" spans="3:40" x14ac:dyDescent="0.4">
      <c r="C45" s="17" t="str">
        <f>Indicator_Input!$B43</f>
        <v>Rhovanion</v>
      </c>
      <c r="D45" s="17" t="str">
        <f>Indicator_Input!$C43</f>
        <v>Dol Guldur</v>
      </c>
      <c r="E45" s="76">
        <f t="shared" ca="1" si="27"/>
        <v>0</v>
      </c>
      <c r="F45" s="76">
        <f t="shared" ca="1" si="27"/>
        <v>15576.888888888889</v>
      </c>
      <c r="G45" s="76">
        <f t="shared" ca="1" si="27"/>
        <v>9688</v>
      </c>
      <c r="H45" s="76">
        <f t="shared" ca="1" si="27"/>
        <v>650.64000000000055</v>
      </c>
      <c r="I45" s="76">
        <f t="shared" ca="1" si="27"/>
        <v>0</v>
      </c>
      <c r="J45" s="76">
        <f t="shared" ca="1" si="27"/>
        <v>0</v>
      </c>
      <c r="K45" s="76">
        <f t="shared" ca="1" si="27"/>
        <v>9079.3043478260861</v>
      </c>
      <c r="L45" s="76">
        <f t="shared" ca="1" si="27"/>
        <v>5638.88</v>
      </c>
      <c r="M45" s="41"/>
      <c r="N45" s="76">
        <f t="shared" ca="1" si="21"/>
        <v>5855.76</v>
      </c>
      <c r="O45" s="76">
        <f t="shared" ca="1" si="21"/>
        <v>1301.2800000000011</v>
      </c>
      <c r="P45" s="76">
        <f t="shared" ca="1" si="21"/>
        <v>0</v>
      </c>
      <c r="Q45" s="76">
        <f t="shared" ca="1" si="21"/>
        <v>7807.6799999999994</v>
      </c>
      <c r="R45" s="76">
        <f t="shared" ca="1" si="21"/>
        <v>10844</v>
      </c>
      <c r="S45" s="41"/>
      <c r="T45" s="76">
        <f t="shared" ca="1" si="13"/>
        <v>686</v>
      </c>
      <c r="U45" s="76">
        <f t="shared" ca="1" si="22"/>
        <v>548</v>
      </c>
      <c r="V45" s="40"/>
      <c r="W45" s="77">
        <f t="shared" ca="1" si="17"/>
        <v>5</v>
      </c>
      <c r="X45" s="77">
        <f t="shared" ca="1" si="26"/>
        <v>4</v>
      </c>
      <c r="Y45" s="77">
        <f t="shared" ca="1" si="26"/>
        <v>1</v>
      </c>
      <c r="Z45" s="77">
        <f t="shared" ca="1" si="26"/>
        <v>5</v>
      </c>
      <c r="AA45" s="41"/>
      <c r="AB45" s="77">
        <f t="shared" ca="1" si="23"/>
        <v>1</v>
      </c>
      <c r="AC45" s="77">
        <f t="shared" ca="1" si="23"/>
        <v>5</v>
      </c>
      <c r="AD45" s="77">
        <f t="shared" ca="1" si="24"/>
        <v>1</v>
      </c>
      <c r="AE45" s="77">
        <f t="shared" ca="1" si="23"/>
        <v>5</v>
      </c>
      <c r="AF45" s="77">
        <f t="shared" ca="1" si="23"/>
        <v>5</v>
      </c>
      <c r="AG45" s="77" t="str">
        <f t="shared" ca="1" si="23"/>
        <v/>
      </c>
      <c r="AH45" s="77" t="str">
        <f t="shared" ca="1" si="23"/>
        <v/>
      </c>
      <c r="AI45" s="77" t="str">
        <f t="shared" ca="1" si="23"/>
        <v/>
      </c>
      <c r="AJ45" s="41"/>
      <c r="AK45" s="77">
        <f t="shared" ca="1" si="25"/>
        <v>3</v>
      </c>
      <c r="AL45" s="77">
        <f t="shared" ca="1" si="25"/>
        <v>3</v>
      </c>
      <c r="AM45" s="80"/>
      <c r="AN45" s="77">
        <f t="shared" ca="1" si="28"/>
        <v>2</v>
      </c>
    </row>
    <row r="46" spans="3:40" x14ac:dyDescent="0.4">
      <c r="C46" s="17" t="str">
        <f>Indicator_Input!$B44</f>
        <v>Rhovanion</v>
      </c>
      <c r="D46" s="17" t="str">
        <f>Indicator_Input!$C44</f>
        <v>Iron Hills</v>
      </c>
      <c r="E46" s="76">
        <f t="shared" ref="E46:L55" ca="1" si="29">IF(INDEX(INDIRECT(E$4),MATCH($D46,IN_Admin2,0))="","",
IF(INDEX(Measure,MATCH(E$4,PiN_Code,0))="Per",
IF(INDEX(Population,MATCH($D46,Admin2,0))-
((INDEX(INDIRECT(E$4),MATCH($D46, Admin2,0)) / INDEX(PiN_Threshold,MATCH(E$4,PiN_Code,0)))*
INDEX(PiN_Per, MATCH(E$4, PiN_Code,0)))&lt;=0,0,
INDEX(Population,MATCH($D46,Admin2,0))-
((INDEX(INDIRECT(E$4),MATCH($D46, Admin2,0))/INDEX(PiN_Threshold,MATCH(E$4,PiN_Code,0)))*
INDEX(PiN_Per, MATCH(E$4, PiN_Code,0)))),
IF(INDEX(Measure,MATCH(E$4,PiN_Code,0))="Proportion",
IF(INDEX(INDIRECT(E$4),MATCH($D46,IN_Admin2,0))&gt;INDEX(PiN_Threshold,MATCH(E$4,PiN_Code,0)),0,
(INDEX(PiN_Threshold,MATCH(E$4,PiN_Code,0))-INDEX(INDIRECT(E$4),MATCH($D46,IN_Admin2,0)))*INDEX(Population,MATCH($D46,Pop_Admin2,0))),
IF(INDEX(Measure,MATCH(E$4,PiN_Code,0))="Number",
IF(INDEX(INDIRECT(E$4),MATCH($D46,IN_Admin2,0))&gt;INDEX(Population,MATCH($D46,Pop_Admin2,0)),INDEX(Population,MATCH($D46,Pop_Admin2,0)),
INDEX(INDIRECT(E$4),MATCH($D46,IN_Admin2,0))),
IF(INDEX(Measure, MATCH(E$4, PiN_Code,0))="Propotion-Total",
INDEX(Population,MATCH($D46,Pop_Admin2,0))*INDEX(INDIRECT(E$4),MATCH($D46,IN_Admin2,0)),"CHECK")))))</f>
        <v>41820</v>
      </c>
      <c r="F46" s="76">
        <f t="shared" ca="1" si="29"/>
        <v>54042.222222222219</v>
      </c>
      <c r="G46" s="76">
        <f t="shared" ca="1" si="29"/>
        <v>0</v>
      </c>
      <c r="H46" s="76">
        <f t="shared" ca="1" si="29"/>
        <v>0</v>
      </c>
      <c r="I46" s="76">
        <f t="shared" ca="1" si="29"/>
        <v>81820</v>
      </c>
      <c r="J46" s="76">
        <f t="shared" ca="1" si="29"/>
        <v>81820</v>
      </c>
      <c r="K46" s="76">
        <f t="shared" ca="1" si="29"/>
        <v>33993.913043478264</v>
      </c>
      <c r="L46" s="76">
        <f t="shared" ca="1" si="29"/>
        <v>60546.8</v>
      </c>
      <c r="M46" s="41"/>
      <c r="N46" s="76">
        <f t="shared" ref="N46:R61" ca="1" si="30">IF(INDEX(INDIRECT(N$4),MATCH($D46,IN_Admin2,0))="","",
IF(INDEX(Measure,MATCH(N$4,PiN_Code,0))="Per",
IF(INDEX(Population,MATCH($D46,Admin2,0))-
((INDEX(INDIRECT(N$4),MATCH($D46, Admin2,0)) / INDEX(PiN_Threshold,MATCH(N$4,PiN_Code,0)))*
INDEX(PiN_Per, MATCH(N$4, PiN_Code,0)))&lt;=0,0,
INDEX(Population,MATCH($D46,Admin2,0))-
((INDEX(INDIRECT(N$4),MATCH($D46, Admin2,0))/INDEX(PiN_Threshold,MATCH(N$4,PiN_Code,0)))*
INDEX(PiN_Per, MATCH(N$4, PiN_Code,0)))),
IF(INDEX(Measure,MATCH(N$4,PiN_Code,0))="Proportion",
IF(INDEX(INDIRECT(N$4),MATCH($D46,IN_Admin2,0))&gt;INDEX(PiN_Threshold,MATCH(N$4,PiN_Code,0)),0,
(INDEX(PiN_Threshold,MATCH(N$4,PiN_Code,0))-INDEX(INDIRECT(N$4),MATCH($D46,IN_Admin2,0)))*INDEX(Population,MATCH($D46,Pop_Admin2,0))),
IF(INDEX(Measure,MATCH(N$4,PiN_Code,0))="Number",
IF(INDEX(INDIRECT(N$4),MATCH($D46,IN_Admin2,0))&gt;INDEX(Population,MATCH($D46,Pop_Admin2,0)),INDEX(Population,MATCH($D46,Pop_Admin2,0)),
INDEX(INDIRECT(N$4),MATCH($D46,IN_Admin2,0))),
IF(INDEX(Measure, MATCH(N$4, PiN_Code,0))="Propotion-Total",
INDEX(Population,MATCH($D46,Pop_Admin2,0))*INDEX(INDIRECT(N$4),MATCH($D46,IN_Admin2,0)),"CHECK")))))</f>
        <v>13091.2</v>
      </c>
      <c r="O46" s="76">
        <f t="shared" ca="1" si="30"/>
        <v>52364.800000000003</v>
      </c>
      <c r="P46" s="76">
        <f t="shared" ca="1" si="30"/>
        <v>0</v>
      </c>
      <c r="Q46" s="76">
        <f t="shared" ca="1" si="30"/>
        <v>25364.200000000004</v>
      </c>
      <c r="R46" s="76">
        <f t="shared" ca="1" si="30"/>
        <v>0</v>
      </c>
      <c r="S46" s="41"/>
      <c r="T46" s="76">
        <f t="shared" ca="1" si="13"/>
        <v>36270</v>
      </c>
      <c r="U46" s="76">
        <f t="shared" ca="1" si="22"/>
        <v>6900</v>
      </c>
      <c r="V46" s="40"/>
      <c r="W46" s="77">
        <f t="shared" ca="1" si="17"/>
        <v>5</v>
      </c>
      <c r="X46" s="77">
        <f t="shared" ca="1" si="26"/>
        <v>4</v>
      </c>
      <c r="Y46" s="77">
        <f t="shared" ca="1" si="26"/>
        <v>5</v>
      </c>
      <c r="Z46" s="77">
        <f t="shared" ca="1" si="26"/>
        <v>5</v>
      </c>
      <c r="AA46" s="41"/>
      <c r="AB46" s="77">
        <f t="shared" ca="1" si="23"/>
        <v>1</v>
      </c>
      <c r="AC46" s="77">
        <f t="shared" ca="1" si="23"/>
        <v>5</v>
      </c>
      <c r="AD46" s="77">
        <f t="shared" ca="1" si="24"/>
        <v>1</v>
      </c>
      <c r="AE46" s="77">
        <f t="shared" ca="1" si="23"/>
        <v>5</v>
      </c>
      <c r="AF46" s="77">
        <f t="shared" ca="1" si="23"/>
        <v>1</v>
      </c>
      <c r="AG46" s="77" t="str">
        <f t="shared" ca="1" si="23"/>
        <v/>
      </c>
      <c r="AH46" s="77" t="str">
        <f t="shared" ca="1" si="23"/>
        <v/>
      </c>
      <c r="AI46" s="77" t="str">
        <f t="shared" ca="1" si="23"/>
        <v/>
      </c>
      <c r="AJ46" s="41"/>
      <c r="AK46" s="77">
        <f t="shared" ca="1" si="25"/>
        <v>4</v>
      </c>
      <c r="AL46" s="77">
        <f t="shared" ca="1" si="25"/>
        <v>2</v>
      </c>
      <c r="AM46" s="80"/>
      <c r="AN46" s="77">
        <f t="shared" ca="1" si="28"/>
        <v>2</v>
      </c>
    </row>
    <row r="47" spans="3:40" x14ac:dyDescent="0.4">
      <c r="C47" s="17" t="str">
        <f>Indicator_Input!$B45</f>
        <v>Rhovanion</v>
      </c>
      <c r="D47" s="17" t="str">
        <f>Indicator_Input!$C45</f>
        <v>Khazad-dum</v>
      </c>
      <c r="E47" s="76">
        <f t="shared" ca="1" si="29"/>
        <v>0</v>
      </c>
      <c r="F47" s="76">
        <f t="shared" ca="1" si="29"/>
        <v>0</v>
      </c>
      <c r="G47" s="76">
        <f t="shared" ca="1" si="29"/>
        <v>0</v>
      </c>
      <c r="H47" s="76">
        <f t="shared" ca="1" si="29"/>
        <v>0</v>
      </c>
      <c r="I47" s="76">
        <f t="shared" ca="1" si="29"/>
        <v>0</v>
      </c>
      <c r="J47" s="76">
        <f t="shared" ca="1" si="29"/>
        <v>0</v>
      </c>
      <c r="K47" s="76">
        <f t="shared" ca="1" si="29"/>
        <v>0</v>
      </c>
      <c r="L47" s="76">
        <f t="shared" ca="1" si="29"/>
        <v>3526.3500000000004</v>
      </c>
      <c r="M47" s="41"/>
      <c r="N47" s="76">
        <f t="shared" ca="1" si="30"/>
        <v>3526.35</v>
      </c>
      <c r="O47" s="76">
        <f t="shared" ca="1" si="30"/>
        <v>10343.960000000001</v>
      </c>
      <c r="P47" s="76">
        <f t="shared" ca="1" si="30"/>
        <v>16691.39</v>
      </c>
      <c r="Q47" s="76">
        <f t="shared" ca="1" si="30"/>
        <v>0</v>
      </c>
      <c r="R47" s="76">
        <f t="shared" ca="1" si="30"/>
        <v>4466.7100000000009</v>
      </c>
      <c r="S47" s="41"/>
      <c r="T47" s="76">
        <f t="shared" ca="1" si="13"/>
        <v>3723</v>
      </c>
      <c r="U47" s="76">
        <f t="shared" ca="1" si="22"/>
        <v>1126</v>
      </c>
      <c r="V47" s="40"/>
      <c r="W47" s="77">
        <f t="shared" ca="1" si="17"/>
        <v>5</v>
      </c>
      <c r="X47" s="77">
        <f t="shared" ref="X47:Z61" ca="1" si="31">IF(INDEX(INDIRECT(X$4),MATCH($D47,IN_Admin2,0))="","",
IF(AND(INDEX(Logical_Operator,MATCH(X$4,PiN_Code,0))="&lt;",INDEX(EndFormula,MATCH(X$4,PiN_Code,0))="Severity 1"),
IF(INDEX(INDIRECT(X$4),MATCH($D47,IN_Admin2,0))&lt;INDEX(Severity_5,MATCH(X$4,PiN_Code,0)),5,
IF(INDEX(INDIRECT(X$4),MATCH($D47,IN_Admin2,0))&lt;INDEX(Severity_4,MATCH(X$4,PiN_Code,0)),4,
IF(INDEX(INDIRECT(X$4),MATCH($D47,IN_Admin2,0))&lt;INDEX(Severity_3,MATCH(X$4,PiN_Code,0)),3,
IF(INDEX(INDIRECT(X$4),MATCH($D47,IN_Admin2,0))&lt;INDEX(Severity_2,MATCH(X$4,PiN_Code,0)),2,1)))),
IF(AND(INDEX(Logical_Operator,MATCH(X$4,PiN_Code,0))="&lt;",INDEX(EndFormula,MATCH(X$4,PiN_Code,0))="Severity 1 &amp; 2"),
IF(INDEX(INDIRECT(X$4),MATCH($D47,IN_Admin2,0))&lt;INDEX(Severity_5,MATCH(X$4,PiN_Code,0)),5,
IF(INDEX(INDIRECT(X$4),MATCH($D47,IN_Admin2,0))&lt;INDEX(Severity_4,MATCH(X$4,PiN_Code,0)),4,
IF(INDEX(INDIRECT(X$4),MATCH($D47,IN_Admin2,0))&lt;INDEX(Severity_3,MATCH(X$4,PiN_Code,0)),3,1))),
IF(AND(INDEX(Logical_Operator,MATCH(X$4,PiN_Code,0))="&lt;",INDEX(EndFormula,MATCH(X$4,PiN_Code,0))="Severity 5, no 2"),
IF(INDEX(INDIRECT(X$4),MATCH($D47,IN_Admin2,0))&lt;INDEX(Severity_1,MATCH(X$4,PiN_Code,0)),1,
IF(INDEX(INDIRECT(X$4),MATCH($D47,IN_Admin2,0))&lt;INDEX(Severity_3,MATCH(X$4,PiN_Code,0)),3,
IF(INDEX(INDIRECT(X$4),MATCH($D47,IN_Admin2,0))&lt;INDEX(Severity_4,MATCH(X$4,PiN_Code,0)),4,5))),
IF(AND(INDEX(Logical_Operator,MATCH(X$4,PiN_Code,0))="&lt;",INDEX(EndFormula,MATCH(X$4,PiN_Code,0))="Severity 5"),
IF(INDEX(INDIRECT(X$4),MATCH($D47,IN_Admin2,0))&lt;INDEX(Severity_1,MATCH(X$4,PiN_Code,0)),1,
IF(INDEX(INDIRECT(X$4),MATCH($D47,IN_Admin2,0))&lt;INDEX(Severity_2,MATCH(X$4,PiN_Code,0)),2,
IF(INDEX(INDIRECT(X$4),MATCH($D47,IN_Admin2,0))&lt;INDEX(Severity_3,MATCH(X$4,PiN_Code,0)),3,
IF(INDEX(INDIRECT(X$4),MATCH($D47,IN_Admin2,0))&lt;INDEX(Severity_4,MATCH(X$4,PiN_Code,0)),4,5)))),
IF(AND(INDEX(Logical_Operator,MATCH(X$4,PiN_Code,0))="&lt;=",INDEX(EndFormula,MATCH(X$4,PiN_Code,0))="Severity 1"),
IF(INDEX(INDIRECT(X$4),MATCH($D47,IN_Admin2,0))&lt;=INDEX(Severity_5,MATCH(X$4,PiN_Code,0)),5,
IF(INDEX(INDIRECT(X$4),MATCH($D47,IN_Admin2,0))&lt;=INDEX(Severity_4,MATCH(X$4,PiN_Code,0)),4,
IF(INDEX(INDIRECT(X$4),MATCH($D47,IN_Admin2,0))&lt;=INDEX(Severity_3,MATCH(X$4,PiN_Code,0)),3,
IF(INDEX(INDIRECT(X$4),MATCH($D47,IN_Admin2,0))&lt;=INDEX(Severity_2,MATCH(X$4,PiN_Code,0)),2,1)))),
IF(AND(INDEX(Logical_Operator,MATCH(X$4,PiN_Code,0))="&lt;=",INDEX(EndFormula,MATCH(X$4,PiN_Code,0))="Severity 1 &amp; 2"),
IF(INDEX(INDIRECT(X$4),MATCH($D47,IN_Admin2,0))&lt;=INDEX(Severity_5,MATCH(X$4,PiN_Code,0)),5,
IF(INDEX(INDIRECT(X$4),MATCH($D47,IN_Admin2,0))&lt;=INDEX(Severity_4,MATCH(X$4,PiN_Code,0)),4,
IF(INDEX(INDIRECT(X$4),MATCH($D47,IN_Admin2,0))&lt;=INDEX(Severity_3,MATCH(X$4,PiN_Code,0)),3,1))),
IF(AND(INDEX(Logical_Operator,MATCH(X$4,PiN_Code,0))="&lt;=",INDEX(EndFormula,MATCH(X$4,PiN_Code,0))="Severity 5, no 2"),
IF(INDEX(INDIRECT(X$4),MATCH($D47,IN_Admin2,0))&lt;=INDEX(Severity_1,MATCH(X$4,PiN_Code,0)),1,
IF(INDEX(INDIRECT(X$4),MATCH($D47,IN_Admin2,0))&lt;=INDEX(Severity_3,MATCH(X$4,PiN_Code,0)),3,
IF(INDEX(INDIRECT(X$4),MATCH($D47,IN_Admin2,0))&lt;=INDEX(Severity_4,MATCH(X$4,PiN_Code,0)),4,5))),
IF(AND(INDEX(Logical_Operator,MATCH(X$4,PiN_Code,0))="&lt;=",INDEX(EndFormula,MATCH(X$4,PiN_Code,0))="Severity 5"),
IF(INDEX(INDIRECT(X$4),MATCH($D47,IN_Admin2,0))&lt;=INDEX(Severity_1,MATCH(X$4,PiN_Code,0)),1,
IF(INDEX(INDIRECT(X$4),MATCH($D47,IN_Admin2,0))&lt;=INDEX(Severity_2,MATCH(X$4,PiN_Code,0)),2,
IF(INDEX(INDIRECT(X$4),MATCH($D47,IN_Admin2,0))&lt;=INDEX(Severity_3,MATCH(X$4,PiN_Code,0)),3,
IF(INDEX(INDIRECT(X$4),MATCH($D47,IN_Admin2,0))&lt;=INDEX(Severity_4,MATCH(X$4,PiN_Code,0)),4,5)))),
IF(AND(INDEX(Logical_Operator,MATCH(X$4,PiN_Code,0))="&gt;=",INDEX(EndFormula,MATCH(X$4,PiN_Code,0))="Severity 1"),
IF(INDEX(INDIRECT(X$4),MATCH($D47,IN_Admin2,0))&gt;=INDEX(Severity_5,MATCH(X$4,PiN_Code,0)),5,
IF(INDEX(INDIRECT(X$4),MATCH($D47,IN_Admin2,0))&gt;=INDEX(Severity_4,MATCH(X$4,PiN_Code,0)),4,
IF(INDEX(INDIRECT(X$4),MATCH($D47,IN_Admin2,0))&gt;=INDEX(Severity_3,MATCH(X$4,PiN_Code,0)),3,
IF(INDEX(INDIRECT(X$4),MATCH($D47,IN_Admin2,0))&gt;=INDEX(Severity_2,MATCH(X$4,PiN_Code,0)),2,1)))),
IF(AND(INDEX(Logical_Operator,MATCH(X$4,PiN_Code,0))="&gt;=",INDEX(EndFormula,MATCH(X$4,PiN_Code,0))="Severity 1 &amp; 2"),
IF(INDEX(INDIRECT(X$4),MATCH($D47,IN_Admin2,0))&gt;=INDEX(Severity_5,MATCH(X$4,PiN_Code,0)),5,
IF(INDEX(INDIRECT(X$4),MATCH($D47,IN_Admin2,0))&gt;=INDEX(Severity_4,MATCH(X$4,PiN_Code,0)),4,
IF(INDEX(INDIRECT(X$4),MATCH($D47,IN_Admin2,0))&gt;=INDEX(Severity_3,MATCH(X$4,PiN_Code,0)),3,1))),
IF(AND(INDEX(Logical_Operator,MATCH(X$4,PiN_Code,0))="&gt;=",INDEX(EndFormula,MATCH(X$4,PiN_Code,0))="Severity 5, no 2"),
IF(INDEX(INDIRECT(X$4),MATCH($D47,IN_Admin2,0))&gt;=INDEX(Severity_1,MATCH(X$4,PiN_Code,0)),1,
IF(INDEX(INDIRECT(X$4),MATCH($D47,IN_Admin2,0))&gt;=INDEX(Severity_3,MATCH(X$4,PiN_Code,0)),3,
IF(INDEX(INDIRECT(X$4),MATCH($D47,IN_Admin2,0))&gt;=INDEX(Severity_4,MATCH(X$4,PiN_Code,0)),4,5))),
IF(AND(INDEX(Logical_Operator,MATCH(X$4,PiN_Code,0))="&gt;=",INDEX(EndFormula,MATCH(X$4,PiN_Code,0))="Severity 5"),
IF(INDEX(INDIRECT(X$4),MATCH($D47,IN_Admin2,0))&gt;=INDEX(Severity_1,MATCH(X$4,PiN_Code,0)),1,
IF(INDEX(INDIRECT(X$4),MATCH($D47,IN_Admin2,0))&gt;=INDEX(Severity_2,MATCH(X$4,PiN_Code,0)),2,
IF(INDEX(INDIRECT(X$4),MATCH($D47,IN_Admin2,0))&gt;=INDEX(Severity_3,MATCH(X$4,PiN_Code,0)),3,
IF(INDEX(INDIRECT(X$4),MATCH($D47,IN_Admin2,0))&gt;=INDEX(Severity_4,MATCH(X$4,PiN_Code,0)),4,5)))),
IF(AND(INDEX(Logical_Operator,MATCH(X$4,PiN_Code,0))="&gt;",INDEX(EndFormula,MATCH(X$4,PiN_Code,0))="Severity 1"),
IF(INDEX(INDIRECT(X$4),MATCH($D47,IN_Admin2,0))&gt;INDEX(Severity_5,MATCH(X$4,PiN_Code,0)),5,
IF(INDEX(INDIRECT(X$4),MATCH($D47,IN_Admin2,0))&gt;INDEX(Severity_4,MATCH(X$4,PiN_Code,0)),4,
IF(INDEX(INDIRECT(X$4),MATCH($D47,IN_Admin2,0))&gt;INDEX(Severity_3,MATCH(X$4,PiN_Code,0)),3,
IF(INDEX(INDIRECT(X$4),MATCH($D47,IN_Admin2,0))&gt;INDEX(Severity_2,MATCH(X$4,PiN_Code,0)),2,1)))),
IF(AND(INDEX(Logical_Operator,MATCH(X$4,PiN_Code,0))="&gt;",INDEX(EndFormula,MATCH(X$4,PiN_Code,0))="Severity 1 &amp; 2"),
IF(INDEX(INDIRECT(X$4),MATCH($D47,IN_Admin2,0))&gt;INDEX(Severity_5,MATCH(X$4,PiN_Code,0)),5,
IF(INDEX(INDIRECT(X$4),MATCH($D47,IN_Admin2,0))&gt;INDEX(Severity_4,MATCH(X$4,PiN_Code,0)),4,
IF(INDEX(INDIRECT(X$4),MATCH($D47,IN_Admin2,0))&gt;INDEX(Severity_3,MATCH(X$4,PiN_Code,0)),3,1))),
IF(AND(INDEX(Logical_Operator,MATCH(X$4,PiN_Code,0))="&gt;",INDEX(EndFormula,MATCH(X$4,PiN_Code,0))="Severity 5, no 2"),
IF(INDEX(INDIRECT(X$4),MATCH($D47,IN_Admin2,0))&gt;INDEX(Severity_1,MATCH(X$4,PiN_Code,0)),1,
IF(INDEX(INDIRECT(X$4),MATCH($D47,IN_Admin2,0))&gt;INDEX(Severity_3,MATCH(X$4,PiN_Code,0)),3,
IF(INDEX(INDIRECT(X$4),MATCH($D47,IN_Admin2,0))&gt;INDEX(Severity_4,MATCH(X$4,PiN_Code,0)),4,5))),
IF(AND(INDEX(Logical_Operator,MATCH(X$4,PiN_Code,0))="&gt;",INDEX(EndFormula,MATCH(X$4,PiN_Code,0))="Severity 5"),
IF(INDEX(INDIRECT(X$4),MATCH($D47,IN_Admin2,0))&gt;INDEX(Severity_1,MATCH(X$4,PiN_Code,0)),1,
IF(INDEX(INDIRECT(X$4),MATCH($D47,IN_Admin2,0))&gt;INDEX(Severity_2,MATCH(X$4,PiN_Code,0)),2,
IF(INDEX(INDIRECT(X$4),MATCH($D47,IN_Admin2,0))&gt;INDEX(Severity_3,MATCH(X$4,PiN_Code,0)),3,
IF(INDEX(INDIRECT(X$4),MATCH($D47,IN_Admin2,0))&gt;INDEX(Severity_4,MATCH(X$4,PiN_Code,0)),4,5)))),
IF(AND(INDEX(Logical_Operator,MATCH(X$4,PiN_Code,0))="=",INDEX(EndFormula,MATCH(X$4,PiN_Code,0))="Severity 1"),
IF(INDEX(INDIRECT(X$4),MATCH($D47,IN_Admin2,0))=INDEX(Severity_5,MATCH(X$4,PiN_Code,0)),5,
IF(INDEX(INDIRECT(X$4),MATCH($D47,IN_Admin2,0))=INDEX(Severity_4,MATCH(X$4,PiN_Code,0)),4,
IF(INDEX(INDIRECT(X$4),MATCH($D47,IN_Admin2,0))=INDEX(Severity_3,MATCH(X$4,PiN_Code,0)),3,
IF(INDEX(INDIRECT(X$4),MATCH($D47,IN_Admin2,0))=INDEX(Severity_2,MATCH(X$4,PiN_Code,0)),2,1)))),
IF(INDEX(Logical_Operator,MATCH(X$4,PiN_Code,0))="=",
INDEX(INDIRECT(X$4),MATCH($D47,IN_Admin2,0)))))))))))))))))))))</f>
        <v>1</v>
      </c>
      <c r="Y47" s="77">
        <f t="shared" ca="1" si="31"/>
        <v>1</v>
      </c>
      <c r="Z47" s="77">
        <f t="shared" ca="1" si="31"/>
        <v>1</v>
      </c>
      <c r="AA47" s="41"/>
      <c r="AB47" s="77">
        <f t="shared" ca="1" si="23"/>
        <v>1</v>
      </c>
      <c r="AC47" s="77">
        <f t="shared" ca="1" si="23"/>
        <v>5</v>
      </c>
      <c r="AD47" s="77">
        <f t="shared" ca="1" si="24"/>
        <v>5</v>
      </c>
      <c r="AE47" s="77">
        <f t="shared" ca="1" si="23"/>
        <v>1</v>
      </c>
      <c r="AF47" s="77">
        <f t="shared" ca="1" si="23"/>
        <v>5</v>
      </c>
      <c r="AG47" s="77" t="str">
        <f t="shared" ca="1" si="23"/>
        <v/>
      </c>
      <c r="AH47" s="77" t="str">
        <f t="shared" ca="1" si="23"/>
        <v/>
      </c>
      <c r="AI47" s="77" t="str">
        <f t="shared" ca="1" si="23"/>
        <v/>
      </c>
      <c r="AJ47" s="41"/>
      <c r="AK47" s="77">
        <f t="shared" ca="1" si="25"/>
        <v>1</v>
      </c>
      <c r="AL47" s="77">
        <f t="shared" ca="1" si="25"/>
        <v>2</v>
      </c>
      <c r="AM47" s="80"/>
      <c r="AN47" s="77">
        <f t="shared" ca="1" si="28"/>
        <v>5</v>
      </c>
    </row>
    <row r="48" spans="3:40" x14ac:dyDescent="0.4">
      <c r="C48" s="17" t="str">
        <f>Indicator_Input!$B46</f>
        <v>Rhovanion</v>
      </c>
      <c r="D48" s="17" t="str">
        <f>Indicator_Input!$C46</f>
        <v>Kingdom of Dale</v>
      </c>
      <c r="E48" s="76">
        <f t="shared" ca="1" si="29"/>
        <v>0</v>
      </c>
      <c r="F48" s="76">
        <f t="shared" ca="1" si="29"/>
        <v>6931.2222222222226</v>
      </c>
      <c r="G48" s="76">
        <f t="shared" ca="1" si="29"/>
        <v>0</v>
      </c>
      <c r="H48" s="76">
        <f t="shared" ca="1" si="29"/>
        <v>8080.6900000000005</v>
      </c>
      <c r="I48" s="76">
        <f t="shared" ca="1" si="29"/>
        <v>0</v>
      </c>
      <c r="J48" s="76">
        <f t="shared" ca="1" si="29"/>
        <v>19709</v>
      </c>
      <c r="K48" s="76">
        <f t="shared" ca="1" si="29"/>
        <v>8404.652173913044</v>
      </c>
      <c r="L48" s="76">
        <f t="shared" ca="1" si="29"/>
        <v>5518.52</v>
      </c>
      <c r="M48" s="41"/>
      <c r="N48" s="76">
        <f t="shared" ca="1" si="30"/>
        <v>3547.62</v>
      </c>
      <c r="O48" s="76">
        <f t="shared" ca="1" si="30"/>
        <v>2562.17</v>
      </c>
      <c r="P48" s="76">
        <f t="shared" ca="1" si="30"/>
        <v>4927.25</v>
      </c>
      <c r="Q48" s="76">
        <f t="shared" ca="1" si="30"/>
        <v>11037.04</v>
      </c>
      <c r="R48" s="76">
        <f t="shared" ca="1" si="30"/>
        <v>10642.86</v>
      </c>
      <c r="S48" s="41"/>
      <c r="T48" s="76">
        <f t="shared" ca="1" si="13"/>
        <v>5229</v>
      </c>
      <c r="U48" s="76">
        <f t="shared" ca="1" si="22"/>
        <v>2455</v>
      </c>
      <c r="V48" s="40"/>
      <c r="W48" s="77">
        <f t="shared" ca="1" si="17"/>
        <v>5</v>
      </c>
      <c r="X48" s="77">
        <f t="shared" ca="1" si="31"/>
        <v>3</v>
      </c>
      <c r="Y48" s="77">
        <f t="shared" ca="1" si="31"/>
        <v>1</v>
      </c>
      <c r="Z48" s="77">
        <f t="shared" ca="1" si="31"/>
        <v>5</v>
      </c>
      <c r="AA48" s="41"/>
      <c r="AB48" s="77">
        <f t="shared" ca="1" si="23"/>
        <v>1</v>
      </c>
      <c r="AC48" s="77">
        <f t="shared" ca="1" si="23"/>
        <v>5</v>
      </c>
      <c r="AD48" s="77">
        <f t="shared" ca="1" si="24"/>
        <v>5</v>
      </c>
      <c r="AE48" s="77">
        <f t="shared" ca="1" si="23"/>
        <v>5</v>
      </c>
      <c r="AF48" s="77">
        <f t="shared" ca="1" si="23"/>
        <v>5</v>
      </c>
      <c r="AG48" s="77" t="str">
        <f t="shared" ca="1" si="23"/>
        <v/>
      </c>
      <c r="AH48" s="77" t="str">
        <f t="shared" ca="1" si="23"/>
        <v/>
      </c>
      <c r="AI48" s="77" t="str">
        <f t="shared" ca="1" si="23"/>
        <v/>
      </c>
      <c r="AJ48" s="41"/>
      <c r="AK48" s="77">
        <f t="shared" ca="1" si="25"/>
        <v>1</v>
      </c>
      <c r="AL48" s="77">
        <f t="shared" ca="1" si="25"/>
        <v>3</v>
      </c>
      <c r="AM48" s="80"/>
      <c r="AN48" s="77">
        <f t="shared" ca="1" si="28"/>
        <v>1</v>
      </c>
    </row>
    <row r="49" spans="3:40" x14ac:dyDescent="0.4">
      <c r="C49" s="17" t="str">
        <f>Indicator_Input!$B47</f>
        <v>Rhovanion</v>
      </c>
      <c r="D49" s="17" t="str">
        <f>Indicator_Input!$C47</f>
        <v>Lonely Mountain</v>
      </c>
      <c r="E49" s="76">
        <f t="shared" ca="1" si="29"/>
        <v>0</v>
      </c>
      <c r="F49" s="76">
        <f t="shared" ca="1" si="29"/>
        <v>2134</v>
      </c>
      <c r="G49" s="76">
        <f t="shared" ca="1" si="29"/>
        <v>0</v>
      </c>
      <c r="H49" s="76">
        <f t="shared" ca="1" si="29"/>
        <v>1698.7600000000002</v>
      </c>
      <c r="I49" s="76">
        <f t="shared" ca="1" si="29"/>
        <v>0</v>
      </c>
      <c r="J49" s="76">
        <f t="shared" ca="1" si="29"/>
        <v>0</v>
      </c>
      <c r="K49" s="76">
        <f t="shared" ca="1" si="29"/>
        <v>0</v>
      </c>
      <c r="L49" s="76">
        <f t="shared" ca="1" si="29"/>
        <v>3154.84</v>
      </c>
      <c r="M49" s="41"/>
      <c r="N49" s="76">
        <f t="shared" ca="1" si="30"/>
        <v>2184.12</v>
      </c>
      <c r="O49" s="76">
        <f t="shared" ca="1" si="30"/>
        <v>8372.4600000000009</v>
      </c>
      <c r="P49" s="76">
        <f t="shared" ca="1" si="30"/>
        <v>364.01999999999896</v>
      </c>
      <c r="Q49" s="76">
        <f t="shared" ca="1" si="30"/>
        <v>8372.4600000000009</v>
      </c>
      <c r="R49" s="76">
        <f t="shared" ca="1" si="30"/>
        <v>2548.1400000000008</v>
      </c>
      <c r="S49" s="41"/>
      <c r="T49" s="76">
        <f t="shared" ca="1" si="13"/>
        <v>1632</v>
      </c>
      <c r="U49" s="76">
        <f t="shared" ca="1" si="22"/>
        <v>1171</v>
      </c>
      <c r="V49" s="40"/>
      <c r="W49" s="77">
        <f t="shared" ca="1" si="17"/>
        <v>5</v>
      </c>
      <c r="X49" s="77">
        <f t="shared" ca="1" si="31"/>
        <v>3</v>
      </c>
      <c r="Y49" s="77">
        <f t="shared" ca="1" si="31"/>
        <v>1</v>
      </c>
      <c r="Z49" s="77">
        <f t="shared" ca="1" si="31"/>
        <v>1</v>
      </c>
      <c r="AA49" s="41"/>
      <c r="AB49" s="77">
        <f t="shared" ca="1" si="23"/>
        <v>1</v>
      </c>
      <c r="AC49" s="77">
        <f t="shared" ca="1" si="23"/>
        <v>5</v>
      </c>
      <c r="AD49" s="77">
        <f t="shared" ca="1" si="24"/>
        <v>3</v>
      </c>
      <c r="AE49" s="77">
        <f t="shared" ca="1" si="23"/>
        <v>5</v>
      </c>
      <c r="AF49" s="77">
        <f t="shared" ca="1" si="23"/>
        <v>5</v>
      </c>
      <c r="AG49" s="77" t="str">
        <f t="shared" ca="1" si="23"/>
        <v/>
      </c>
      <c r="AH49" s="77" t="str">
        <f t="shared" ca="1" si="23"/>
        <v/>
      </c>
      <c r="AI49" s="77" t="str">
        <f t="shared" ca="1" si="23"/>
        <v/>
      </c>
      <c r="AJ49" s="41"/>
      <c r="AK49" s="77">
        <f t="shared" ca="1" si="25"/>
        <v>4</v>
      </c>
      <c r="AL49" s="77">
        <f t="shared" ca="1" si="25"/>
        <v>3</v>
      </c>
      <c r="AM49" s="80"/>
      <c r="AN49" s="77">
        <f t="shared" ca="1" si="28"/>
        <v>5</v>
      </c>
    </row>
    <row r="50" spans="3:40" x14ac:dyDescent="0.4">
      <c r="C50" s="17" t="str">
        <f>Indicator_Input!$B48</f>
        <v>Rhovanion</v>
      </c>
      <c r="D50" s="17" t="str">
        <f>Indicator_Input!$C48</f>
        <v>Lothlorien</v>
      </c>
      <c r="E50" s="76">
        <f t="shared" ca="1" si="29"/>
        <v>0</v>
      </c>
      <c r="F50" s="76">
        <f t="shared" ca="1" si="29"/>
        <v>39401.555555555555</v>
      </c>
      <c r="G50" s="76">
        <f t="shared" ca="1" si="29"/>
        <v>0</v>
      </c>
      <c r="H50" s="76">
        <f t="shared" ca="1" si="29"/>
        <v>6461.5199999999995</v>
      </c>
      <c r="I50" s="76">
        <f t="shared" ca="1" si="29"/>
        <v>0</v>
      </c>
      <c r="J50" s="76">
        <f t="shared" ca="1" si="29"/>
        <v>0</v>
      </c>
      <c r="K50" s="76">
        <f t="shared" ca="1" si="29"/>
        <v>0</v>
      </c>
      <c r="L50" s="76">
        <f t="shared" ca="1" si="29"/>
        <v>12384.580000000005</v>
      </c>
      <c r="M50" s="41"/>
      <c r="N50" s="76">
        <f t="shared" ca="1" si="30"/>
        <v>12384.58</v>
      </c>
      <c r="O50" s="76">
        <f t="shared" ca="1" si="30"/>
        <v>0</v>
      </c>
      <c r="P50" s="76">
        <f t="shared" ca="1" si="30"/>
        <v>15076.879999999996</v>
      </c>
      <c r="Q50" s="76">
        <f t="shared" ca="1" si="30"/>
        <v>0</v>
      </c>
      <c r="R50" s="76">
        <f t="shared" ca="1" si="30"/>
        <v>34999.9</v>
      </c>
      <c r="S50" s="41"/>
      <c r="T50" s="76">
        <f t="shared" ca="1" si="13"/>
        <v>9460</v>
      </c>
      <c r="U50" s="76">
        <f t="shared" ca="1" si="22"/>
        <v>1134</v>
      </c>
      <c r="V50" s="40"/>
      <c r="W50" s="77">
        <f t="shared" ca="1" si="17"/>
        <v>3</v>
      </c>
      <c r="X50" s="77">
        <f t="shared" ca="1" si="31"/>
        <v>5</v>
      </c>
      <c r="Y50" s="77">
        <f t="shared" ca="1" si="31"/>
        <v>1</v>
      </c>
      <c r="Z50" s="77">
        <f t="shared" ca="1" si="31"/>
        <v>1</v>
      </c>
      <c r="AA50" s="41"/>
      <c r="AB50" s="77">
        <f t="shared" ca="1" si="23"/>
        <v>1</v>
      </c>
      <c r="AC50" s="77">
        <f t="shared" ca="1" si="23"/>
        <v>5</v>
      </c>
      <c r="AD50" s="77">
        <f t="shared" ca="1" si="24"/>
        <v>5</v>
      </c>
      <c r="AE50" s="77">
        <f t="shared" ca="1" si="23"/>
        <v>1</v>
      </c>
      <c r="AF50" s="77">
        <f t="shared" ca="1" si="23"/>
        <v>5</v>
      </c>
      <c r="AG50" s="77" t="str">
        <f t="shared" ca="1" si="23"/>
        <v/>
      </c>
      <c r="AH50" s="77" t="str">
        <f t="shared" ca="1" si="23"/>
        <v/>
      </c>
      <c r="AI50" s="77" t="str">
        <f t="shared" ca="1" si="23"/>
        <v/>
      </c>
      <c r="AJ50" s="41"/>
      <c r="AK50" s="77">
        <f t="shared" ca="1" si="25"/>
        <v>4</v>
      </c>
      <c r="AL50" s="77">
        <f t="shared" ca="1" si="25"/>
        <v>3</v>
      </c>
      <c r="AM50" s="80"/>
      <c r="AN50" s="77">
        <f t="shared" ca="1" si="28"/>
        <v>5</v>
      </c>
    </row>
    <row r="51" spans="3:40" x14ac:dyDescent="0.4">
      <c r="C51" s="17" t="str">
        <f>Indicator_Input!$B49</f>
        <v>Rhovanion</v>
      </c>
      <c r="D51" s="17" t="str">
        <f>Indicator_Input!$C49</f>
        <v>Woodland Realm</v>
      </c>
      <c r="E51" s="76">
        <f t="shared" ca="1" si="29"/>
        <v>0</v>
      </c>
      <c r="F51" s="76">
        <f t="shared" ca="1" si="29"/>
        <v>0</v>
      </c>
      <c r="G51" s="76">
        <f t="shared" ca="1" si="29"/>
        <v>0</v>
      </c>
      <c r="H51" s="76">
        <f t="shared" ca="1" si="29"/>
        <v>2345.6000000000008</v>
      </c>
      <c r="I51" s="76">
        <f t="shared" ca="1" si="29"/>
        <v>0</v>
      </c>
      <c r="J51" s="76">
        <f t="shared" ca="1" si="29"/>
        <v>0</v>
      </c>
      <c r="K51" s="76">
        <f t="shared" ca="1" si="29"/>
        <v>0</v>
      </c>
      <c r="L51" s="76">
        <f t="shared" ca="1" si="29"/>
        <v>8092.3200000000006</v>
      </c>
      <c r="M51" s="41"/>
      <c r="N51" s="76">
        <f t="shared" ca="1" si="30"/>
        <v>1876.48</v>
      </c>
      <c r="O51" s="76">
        <f t="shared" ca="1" si="30"/>
        <v>5160.32</v>
      </c>
      <c r="P51" s="76">
        <f t="shared" ca="1" si="30"/>
        <v>9265.119999999999</v>
      </c>
      <c r="Q51" s="76">
        <f t="shared" ca="1" si="30"/>
        <v>3166.5600000000004</v>
      </c>
      <c r="R51" s="76">
        <f t="shared" ca="1" si="30"/>
        <v>6450.4000000000005</v>
      </c>
      <c r="S51" s="41"/>
      <c r="T51" s="76">
        <f t="shared" ca="1" si="13"/>
        <v>4774</v>
      </c>
      <c r="U51" s="76">
        <f t="shared" ca="1" si="22"/>
        <v>503</v>
      </c>
      <c r="V51" s="40"/>
      <c r="W51" s="77">
        <f t="shared" ca="1" si="17"/>
        <v>1</v>
      </c>
      <c r="X51" s="77">
        <f t="shared" ca="1" si="31"/>
        <v>1</v>
      </c>
      <c r="Y51" s="77">
        <f t="shared" ca="1" si="31"/>
        <v>1</v>
      </c>
      <c r="Z51" s="77">
        <f t="shared" ca="1" si="31"/>
        <v>1</v>
      </c>
      <c r="AA51" s="41"/>
      <c r="AB51" s="77">
        <f t="shared" ca="1" si="23"/>
        <v>1</v>
      </c>
      <c r="AC51" s="77">
        <f t="shared" ca="1" si="23"/>
        <v>5</v>
      </c>
      <c r="AD51" s="77">
        <f t="shared" ca="1" si="24"/>
        <v>5</v>
      </c>
      <c r="AE51" s="77">
        <f t="shared" ca="1" si="23"/>
        <v>5</v>
      </c>
      <c r="AF51" s="77">
        <f t="shared" ca="1" si="23"/>
        <v>5</v>
      </c>
      <c r="AG51" s="77" t="str">
        <f t="shared" ca="1" si="23"/>
        <v/>
      </c>
      <c r="AH51" s="77" t="str">
        <f t="shared" ca="1" si="23"/>
        <v/>
      </c>
      <c r="AI51" s="77" t="str">
        <f t="shared" ca="1" si="23"/>
        <v/>
      </c>
      <c r="AJ51" s="41"/>
      <c r="AK51" s="77">
        <f t="shared" ca="1" si="25"/>
        <v>3</v>
      </c>
      <c r="AL51" s="77">
        <f t="shared" ca="1" si="25"/>
        <v>2</v>
      </c>
      <c r="AM51" s="80"/>
      <c r="AN51" s="77">
        <f t="shared" ca="1" si="28"/>
        <v>4</v>
      </c>
    </row>
    <row r="52" spans="3:40" x14ac:dyDescent="0.4">
      <c r="C52" s="17" t="str">
        <f>Indicator_Input!$B50</f>
        <v>Rhun</v>
      </c>
      <c r="D52" s="17" t="str">
        <f>Indicator_Input!$C50</f>
        <v>Cuivienen</v>
      </c>
      <c r="E52" s="76">
        <f t="shared" ca="1" si="29"/>
        <v>112197</v>
      </c>
      <c r="F52" s="76">
        <f t="shared" ca="1" si="29"/>
        <v>229974.77777777778</v>
      </c>
      <c r="G52" s="76">
        <f t="shared" ca="1" si="29"/>
        <v>228197</v>
      </c>
      <c r="H52" s="76">
        <f t="shared" ca="1" si="29"/>
        <v>67815.16</v>
      </c>
      <c r="I52" s="76">
        <f t="shared" ca="1" si="29"/>
        <v>0</v>
      </c>
      <c r="J52" s="76">
        <f t="shared" ca="1" si="29"/>
        <v>0</v>
      </c>
      <c r="K52" s="76">
        <f t="shared" ca="1" si="29"/>
        <v>213501.34782608697</v>
      </c>
      <c r="L52" s="76">
        <f t="shared" ca="1" si="29"/>
        <v>24219.700000000023</v>
      </c>
      <c r="M52" s="41"/>
      <c r="N52" s="76">
        <f t="shared" ca="1" si="30"/>
        <v>29063.64</v>
      </c>
      <c r="O52" s="76">
        <f t="shared" ca="1" si="30"/>
        <v>65393.19</v>
      </c>
      <c r="P52" s="76">
        <f t="shared" ca="1" si="30"/>
        <v>106566.68</v>
      </c>
      <c r="Q52" s="76">
        <f t="shared" ca="1" si="30"/>
        <v>0</v>
      </c>
      <c r="R52" s="76">
        <f t="shared" ca="1" si="30"/>
        <v>79925.010000000024</v>
      </c>
      <c r="S52" s="41"/>
      <c r="T52" s="76">
        <f t="shared" ca="1" si="13"/>
        <v>208277</v>
      </c>
      <c r="U52" s="76">
        <f t="shared" ca="1" si="22"/>
        <v>20244</v>
      </c>
      <c r="V52" s="40"/>
      <c r="W52" s="77">
        <f t="shared" ca="1" si="17"/>
        <v>5</v>
      </c>
      <c r="X52" s="77">
        <f t="shared" ca="1" si="31"/>
        <v>5</v>
      </c>
      <c r="Y52" s="77">
        <f t="shared" ca="1" si="31"/>
        <v>1</v>
      </c>
      <c r="Z52" s="77">
        <f t="shared" ca="1" si="31"/>
        <v>5</v>
      </c>
      <c r="AA52" s="41"/>
      <c r="AB52" s="77">
        <f t="shared" ca="1" si="23"/>
        <v>1</v>
      </c>
      <c r="AC52" s="77">
        <f t="shared" ca="1" si="23"/>
        <v>5</v>
      </c>
      <c r="AD52" s="77">
        <f t="shared" ca="1" si="24"/>
        <v>5</v>
      </c>
      <c r="AE52" s="77">
        <f t="shared" ca="1" si="23"/>
        <v>1</v>
      </c>
      <c r="AF52" s="77">
        <f t="shared" ca="1" si="23"/>
        <v>5</v>
      </c>
      <c r="AG52" s="77" t="str">
        <f t="shared" ca="1" si="23"/>
        <v/>
      </c>
      <c r="AH52" s="77" t="str">
        <f t="shared" ca="1" si="23"/>
        <v/>
      </c>
      <c r="AI52" s="77" t="str">
        <f t="shared" ca="1" si="23"/>
        <v/>
      </c>
      <c r="AJ52" s="41"/>
      <c r="AK52" s="77">
        <f t="shared" ca="1" si="25"/>
        <v>1</v>
      </c>
      <c r="AL52" s="77">
        <f t="shared" ca="1" si="25"/>
        <v>3</v>
      </c>
      <c r="AM52" s="80"/>
      <c r="AN52" s="77">
        <f t="shared" ca="1" si="28"/>
        <v>4</v>
      </c>
    </row>
    <row r="53" spans="3:40" x14ac:dyDescent="0.4">
      <c r="C53" s="17" t="str">
        <f>Indicator_Input!$B51</f>
        <v>Rhun</v>
      </c>
      <c r="D53" s="17" t="str">
        <f>Indicator_Input!$C51</f>
        <v>Dorwinion</v>
      </c>
      <c r="E53" s="76">
        <f t="shared" ca="1" si="29"/>
        <v>0</v>
      </c>
      <c r="F53" s="76">
        <f t="shared" ca="1" si="29"/>
        <v>4754</v>
      </c>
      <c r="G53" s="76">
        <f t="shared" ca="1" si="29"/>
        <v>24754</v>
      </c>
      <c r="H53" s="76">
        <f t="shared" ca="1" si="29"/>
        <v>12624.54</v>
      </c>
      <c r="I53" s="76">
        <f t="shared" ca="1" si="29"/>
        <v>0</v>
      </c>
      <c r="J53" s="76">
        <f t="shared" ca="1" si="29"/>
        <v>24754</v>
      </c>
      <c r="K53" s="76">
        <f t="shared" ca="1" si="29"/>
        <v>0</v>
      </c>
      <c r="L53" s="76">
        <f t="shared" ca="1" si="29"/>
        <v>4208.1800000000012</v>
      </c>
      <c r="M53" s="41"/>
      <c r="N53" s="76">
        <f t="shared" ca="1" si="30"/>
        <v>6931.1200000000008</v>
      </c>
      <c r="O53" s="76">
        <f t="shared" ca="1" si="30"/>
        <v>17080.260000000002</v>
      </c>
      <c r="P53" s="76">
        <f t="shared" ca="1" si="30"/>
        <v>18070.419999999998</v>
      </c>
      <c r="Q53" s="76">
        <f t="shared" ca="1" si="30"/>
        <v>7921.2800000000016</v>
      </c>
      <c r="R53" s="76">
        <f t="shared" ca="1" si="30"/>
        <v>16832.72</v>
      </c>
      <c r="S53" s="41"/>
      <c r="T53" s="76">
        <f t="shared" ca="1" si="13"/>
        <v>2049</v>
      </c>
      <c r="U53" s="76">
        <f t="shared" ca="1" si="22"/>
        <v>1423</v>
      </c>
      <c r="V53" s="40"/>
      <c r="W53" s="77">
        <f t="shared" ca="1" si="17"/>
        <v>5</v>
      </c>
      <c r="X53" s="77">
        <f t="shared" ca="1" si="31"/>
        <v>3</v>
      </c>
      <c r="Y53" s="77">
        <f t="shared" ca="1" si="31"/>
        <v>1</v>
      </c>
      <c r="Z53" s="77">
        <f t="shared" ca="1" si="31"/>
        <v>1</v>
      </c>
      <c r="AA53" s="41"/>
      <c r="AB53" s="77">
        <f t="shared" ca="1" si="23"/>
        <v>1</v>
      </c>
      <c r="AC53" s="77">
        <f t="shared" ca="1" si="23"/>
        <v>5</v>
      </c>
      <c r="AD53" s="77">
        <f t="shared" ca="1" si="24"/>
        <v>5</v>
      </c>
      <c r="AE53" s="77">
        <f t="shared" ca="1" si="23"/>
        <v>5</v>
      </c>
      <c r="AF53" s="77">
        <f t="shared" ca="1" si="23"/>
        <v>5</v>
      </c>
      <c r="AG53" s="77" t="str">
        <f t="shared" ca="1" si="23"/>
        <v/>
      </c>
      <c r="AH53" s="77" t="str">
        <f t="shared" ca="1" si="23"/>
        <v/>
      </c>
      <c r="AI53" s="77" t="str">
        <f t="shared" ca="1" si="23"/>
        <v/>
      </c>
      <c r="AJ53" s="41"/>
      <c r="AK53" s="77">
        <f t="shared" ca="1" si="25"/>
        <v>1</v>
      </c>
      <c r="AL53" s="77">
        <f t="shared" ca="1" si="25"/>
        <v>3</v>
      </c>
      <c r="AM53" s="80"/>
      <c r="AN53" s="77">
        <f t="shared" ca="1" si="28"/>
        <v>2</v>
      </c>
    </row>
    <row r="54" spans="3:40" x14ac:dyDescent="0.4">
      <c r="C54" s="17" t="str">
        <f>Indicator_Input!$B52</f>
        <v>Rhun</v>
      </c>
      <c r="D54" s="17" t="str">
        <f>Indicator_Input!$C52</f>
        <v>Hildorien</v>
      </c>
      <c r="E54" s="76">
        <f t="shared" ca="1" si="29"/>
        <v>0</v>
      </c>
      <c r="F54" s="76">
        <f t="shared" ca="1" si="29"/>
        <v>3477.7777777777774</v>
      </c>
      <c r="G54" s="76">
        <f t="shared" ca="1" si="29"/>
        <v>0</v>
      </c>
      <c r="H54" s="76">
        <f t="shared" ca="1" si="29"/>
        <v>1656.0000000000014</v>
      </c>
      <c r="I54" s="76">
        <f t="shared" ca="1" si="29"/>
        <v>0</v>
      </c>
      <c r="J54" s="76">
        <f t="shared" ca="1" si="29"/>
        <v>0</v>
      </c>
      <c r="K54" s="76">
        <f t="shared" ca="1" si="29"/>
        <v>0</v>
      </c>
      <c r="L54" s="76">
        <f t="shared" ca="1" si="29"/>
        <v>8901.0000000000018</v>
      </c>
      <c r="M54" s="41"/>
      <c r="N54" s="76">
        <f t="shared" ca="1" si="30"/>
        <v>3726</v>
      </c>
      <c r="O54" s="76">
        <f t="shared" ca="1" si="30"/>
        <v>1242.0000000000011</v>
      </c>
      <c r="P54" s="76">
        <f t="shared" ca="1" si="30"/>
        <v>5382</v>
      </c>
      <c r="Q54" s="76">
        <f t="shared" ca="1" si="30"/>
        <v>18423</v>
      </c>
      <c r="R54" s="76">
        <f t="shared" ca="1" si="30"/>
        <v>1242.0000000000011</v>
      </c>
      <c r="S54" s="41"/>
      <c r="T54" s="76">
        <f t="shared" ca="1" si="13"/>
        <v>7458</v>
      </c>
      <c r="U54" s="76">
        <f t="shared" ca="1" si="22"/>
        <v>2573</v>
      </c>
      <c r="V54" s="40"/>
      <c r="W54" s="77">
        <f t="shared" ca="1" si="17"/>
        <v>5</v>
      </c>
      <c r="X54" s="77">
        <f t="shared" ca="1" si="31"/>
        <v>3</v>
      </c>
      <c r="Y54" s="77">
        <f t="shared" ca="1" si="31"/>
        <v>1</v>
      </c>
      <c r="Z54" s="77">
        <f t="shared" ca="1" si="31"/>
        <v>1</v>
      </c>
      <c r="AA54" s="41"/>
      <c r="AB54" s="77">
        <f t="shared" ca="1" si="23"/>
        <v>1</v>
      </c>
      <c r="AC54" s="77">
        <f t="shared" ca="1" si="23"/>
        <v>4</v>
      </c>
      <c r="AD54" s="77">
        <f t="shared" ca="1" si="24"/>
        <v>5</v>
      </c>
      <c r="AE54" s="77">
        <f t="shared" ca="1" si="23"/>
        <v>5</v>
      </c>
      <c r="AF54" s="77">
        <f t="shared" ca="1" si="23"/>
        <v>4</v>
      </c>
      <c r="AG54" s="77" t="str">
        <f t="shared" ca="1" si="23"/>
        <v/>
      </c>
      <c r="AH54" s="77" t="str">
        <f t="shared" ca="1" si="23"/>
        <v/>
      </c>
      <c r="AI54" s="77" t="str">
        <f t="shared" ca="1" si="23"/>
        <v/>
      </c>
      <c r="AJ54" s="41"/>
      <c r="AK54" s="77">
        <f t="shared" ca="1" si="25"/>
        <v>3</v>
      </c>
      <c r="AL54" s="77">
        <f t="shared" ca="1" si="25"/>
        <v>3</v>
      </c>
      <c r="AM54" s="80"/>
      <c r="AN54" s="77">
        <f t="shared" ca="1" si="28"/>
        <v>5</v>
      </c>
    </row>
    <row r="55" spans="3:40" x14ac:dyDescent="0.4">
      <c r="C55" s="17" t="str">
        <f>Indicator_Input!$B53</f>
        <v>Rhun</v>
      </c>
      <c r="D55" s="17" t="str">
        <f>Indicator_Input!$C53</f>
        <v>Wild Wood</v>
      </c>
      <c r="E55" s="76">
        <f t="shared" ca="1" si="29"/>
        <v>0</v>
      </c>
      <c r="F55" s="76">
        <f t="shared" ca="1" si="29"/>
        <v>0</v>
      </c>
      <c r="G55" s="76">
        <f t="shared" ca="1" si="29"/>
        <v>0</v>
      </c>
      <c r="H55" s="76">
        <f t="shared" ca="1" si="29"/>
        <v>1725.0000000000002</v>
      </c>
      <c r="I55" s="76">
        <f t="shared" ca="1" si="29"/>
        <v>0</v>
      </c>
      <c r="J55" s="76">
        <f t="shared" ca="1" si="29"/>
        <v>0</v>
      </c>
      <c r="K55" s="76">
        <f t="shared" ca="1" si="29"/>
        <v>0</v>
      </c>
      <c r="L55" s="76">
        <f t="shared" ca="1" si="29"/>
        <v>1207.5000000000005</v>
      </c>
      <c r="M55" s="41"/>
      <c r="N55" s="76">
        <f t="shared" ca="1" si="30"/>
        <v>1610.0000000000002</v>
      </c>
      <c r="O55" s="76">
        <f t="shared" ca="1" si="30"/>
        <v>3220.0000000000005</v>
      </c>
      <c r="P55" s="76">
        <f t="shared" ca="1" si="30"/>
        <v>4657.5</v>
      </c>
      <c r="Q55" s="76">
        <f t="shared" ca="1" si="30"/>
        <v>3220.0000000000005</v>
      </c>
      <c r="R55" s="76">
        <f t="shared" ca="1" si="30"/>
        <v>4945</v>
      </c>
      <c r="S55" s="41"/>
      <c r="T55" s="76">
        <f t="shared" ca="1" si="13"/>
        <v>4955</v>
      </c>
      <c r="U55" s="76">
        <f t="shared" ca="1" si="22"/>
        <v>504</v>
      </c>
      <c r="V55" s="40"/>
      <c r="W55" s="77">
        <f t="shared" ca="1" si="17"/>
        <v>5</v>
      </c>
      <c r="X55" s="77">
        <f t="shared" ca="1" si="31"/>
        <v>1</v>
      </c>
      <c r="Y55" s="77">
        <f t="shared" ca="1" si="31"/>
        <v>1</v>
      </c>
      <c r="Z55" s="77">
        <f t="shared" ca="1" si="31"/>
        <v>1</v>
      </c>
      <c r="AA55" s="41"/>
      <c r="AB55" s="77">
        <f t="shared" ca="1" si="23"/>
        <v>1</v>
      </c>
      <c r="AC55" s="77">
        <f t="shared" ca="1" si="23"/>
        <v>5</v>
      </c>
      <c r="AD55" s="77">
        <f t="shared" ca="1" si="24"/>
        <v>5</v>
      </c>
      <c r="AE55" s="77">
        <f t="shared" ca="1" si="23"/>
        <v>5</v>
      </c>
      <c r="AF55" s="77">
        <f t="shared" ca="1" si="23"/>
        <v>5</v>
      </c>
      <c r="AG55" s="77" t="str">
        <f t="shared" ca="1" si="23"/>
        <v/>
      </c>
      <c r="AH55" s="77" t="str">
        <f t="shared" ca="1" si="23"/>
        <v/>
      </c>
      <c r="AI55" s="77" t="str">
        <f t="shared" ca="1" si="23"/>
        <v/>
      </c>
      <c r="AJ55" s="41"/>
      <c r="AK55" s="77">
        <f t="shared" ca="1" si="25"/>
        <v>1</v>
      </c>
      <c r="AL55" s="77">
        <f t="shared" ca="1" si="25"/>
        <v>3</v>
      </c>
      <c r="AM55" s="80"/>
      <c r="AN55" s="77">
        <f t="shared" ca="1" si="28"/>
        <v>2</v>
      </c>
    </row>
    <row r="56" spans="3:40" x14ac:dyDescent="0.4">
      <c r="C56" s="17" t="str">
        <f>Indicator_Input!$B54</f>
        <v>Rohan</v>
      </c>
      <c r="D56" s="17" t="str">
        <f>Indicator_Input!$C54</f>
        <v>Eastemnet</v>
      </c>
      <c r="E56" s="76">
        <f t="shared" ref="E56:L61" ca="1" si="32">IF(INDEX(INDIRECT(E$4),MATCH($D56,IN_Admin2,0))="","",
IF(INDEX(Measure,MATCH(E$4,PiN_Code,0))="Per",
IF(INDEX(Population,MATCH($D56,Admin2,0))-
((INDEX(INDIRECT(E$4),MATCH($D56, Admin2,0)) / INDEX(PiN_Threshold,MATCH(E$4,PiN_Code,0)))*
INDEX(PiN_Per, MATCH(E$4, PiN_Code,0)))&lt;=0,0,
INDEX(Population,MATCH($D56,Admin2,0))-
((INDEX(INDIRECT(E$4),MATCH($D56, Admin2,0))/INDEX(PiN_Threshold,MATCH(E$4,PiN_Code,0)))*
INDEX(PiN_Per, MATCH(E$4, PiN_Code,0)))),
IF(INDEX(Measure,MATCH(E$4,PiN_Code,0))="Proportion",
IF(INDEX(INDIRECT(E$4),MATCH($D56,IN_Admin2,0))&gt;INDEX(PiN_Threshold,MATCH(E$4,PiN_Code,0)),0,
(INDEX(PiN_Threshold,MATCH(E$4,PiN_Code,0))-INDEX(INDIRECT(E$4),MATCH($D56,IN_Admin2,0)))*INDEX(Population,MATCH($D56,Pop_Admin2,0))),
IF(INDEX(Measure,MATCH(E$4,PiN_Code,0))="Number",
IF(INDEX(INDIRECT(E$4),MATCH($D56,IN_Admin2,0))&gt;INDEX(Population,MATCH($D56,Pop_Admin2,0)),INDEX(Population,MATCH($D56,Pop_Admin2,0)),
INDEX(INDIRECT(E$4),MATCH($D56,IN_Admin2,0))),
IF(INDEX(Measure, MATCH(E$4, PiN_Code,0))="Propotion-Total",
INDEX(Population,MATCH($D56,Pop_Admin2,0))*INDEX(INDIRECT(E$4),MATCH($D56,IN_Admin2,0)),"CHECK")))))</f>
        <v>0</v>
      </c>
      <c r="F56" s="76">
        <f t="shared" ca="1" si="32"/>
        <v>18327.888888888891</v>
      </c>
      <c r="G56" s="76">
        <f t="shared" ca="1" si="32"/>
        <v>48439</v>
      </c>
      <c r="H56" s="76">
        <f t="shared" ca="1" si="32"/>
        <v>0</v>
      </c>
      <c r="I56" s="76">
        <f t="shared" ca="1" si="32"/>
        <v>0</v>
      </c>
      <c r="J56" s="76">
        <f t="shared" ca="1" si="32"/>
        <v>0</v>
      </c>
      <c r="K56" s="76">
        <f t="shared" ca="1" si="32"/>
        <v>0</v>
      </c>
      <c r="L56" s="76">
        <f t="shared" ca="1" si="32"/>
        <v>43006.810000000005</v>
      </c>
      <c r="M56" s="41"/>
      <c r="N56" s="76">
        <f t="shared" ca="1" si="30"/>
        <v>15787.31</v>
      </c>
      <c r="O56" s="76">
        <f t="shared" ca="1" si="30"/>
        <v>28308.280000000002</v>
      </c>
      <c r="P56" s="76">
        <f t="shared" ca="1" si="30"/>
        <v>34296.569999999992</v>
      </c>
      <c r="Q56" s="76">
        <f t="shared" ca="1" si="30"/>
        <v>26130.720000000001</v>
      </c>
      <c r="R56" s="76">
        <f t="shared" ca="1" si="30"/>
        <v>544.39000000000044</v>
      </c>
      <c r="S56" s="41"/>
      <c r="T56" s="76">
        <f t="shared" ca="1" si="13"/>
        <v>1253</v>
      </c>
      <c r="U56" s="76">
        <f t="shared" ca="1" si="22"/>
        <v>164</v>
      </c>
      <c r="V56" s="40"/>
      <c r="W56" s="77">
        <f t="shared" ca="1" si="17"/>
        <v>5</v>
      </c>
      <c r="X56" s="77">
        <f t="shared" ca="1" si="31"/>
        <v>3</v>
      </c>
      <c r="Y56" s="77">
        <f t="shared" ca="1" si="31"/>
        <v>1</v>
      </c>
      <c r="Z56" s="77">
        <f t="shared" ca="1" si="31"/>
        <v>1</v>
      </c>
      <c r="AA56" s="41"/>
      <c r="AB56" s="77">
        <f t="shared" ca="1" si="23"/>
        <v>1</v>
      </c>
      <c r="AC56" s="77">
        <f t="shared" ca="1" si="23"/>
        <v>5</v>
      </c>
      <c r="AD56" s="77">
        <f t="shared" ca="1" si="24"/>
        <v>5</v>
      </c>
      <c r="AE56" s="77">
        <f t="shared" ca="1" si="23"/>
        <v>5</v>
      </c>
      <c r="AF56" s="77">
        <f t="shared" ca="1" si="23"/>
        <v>3</v>
      </c>
      <c r="AG56" s="77" t="str">
        <f t="shared" ca="1" si="23"/>
        <v/>
      </c>
      <c r="AH56" s="77" t="str">
        <f t="shared" ca="1" si="23"/>
        <v/>
      </c>
      <c r="AI56" s="77" t="str">
        <f t="shared" ca="1" si="23"/>
        <v/>
      </c>
      <c r="AJ56" s="41"/>
      <c r="AK56" s="77">
        <f t="shared" ca="1" si="25"/>
        <v>1</v>
      </c>
      <c r="AL56" s="77">
        <f t="shared" ca="1" si="25"/>
        <v>3</v>
      </c>
      <c r="AM56" s="80"/>
      <c r="AN56" s="77">
        <f t="shared" ca="1" si="28"/>
        <v>2</v>
      </c>
    </row>
    <row r="57" spans="3:40" x14ac:dyDescent="0.4">
      <c r="C57" s="17" t="str">
        <f>Indicator_Input!$B55</f>
        <v>Rohan</v>
      </c>
      <c r="D57" s="17" t="str">
        <f>Indicator_Input!$C55</f>
        <v>Eastfold</v>
      </c>
      <c r="E57" s="76">
        <f t="shared" ca="1" si="32"/>
        <v>0</v>
      </c>
      <c r="F57" s="76">
        <f t="shared" ca="1" si="32"/>
        <v>0</v>
      </c>
      <c r="G57" s="76">
        <f t="shared" ca="1" si="32"/>
        <v>0</v>
      </c>
      <c r="H57" s="76">
        <f t="shared" ca="1" si="32"/>
        <v>4067.61</v>
      </c>
      <c r="I57" s="76">
        <f t="shared" ca="1" si="32"/>
        <v>9921</v>
      </c>
      <c r="J57" s="76">
        <f t="shared" ca="1" si="32"/>
        <v>9921</v>
      </c>
      <c r="K57" s="76">
        <f t="shared" ca="1" si="32"/>
        <v>0</v>
      </c>
      <c r="L57" s="76">
        <f t="shared" ca="1" si="32"/>
        <v>793.68000000000075</v>
      </c>
      <c r="M57" s="41"/>
      <c r="N57" s="76">
        <f t="shared" ca="1" si="30"/>
        <v>2877.0899999999997</v>
      </c>
      <c r="O57" s="76">
        <f t="shared" ca="1" si="30"/>
        <v>7143.12</v>
      </c>
      <c r="P57" s="76">
        <f t="shared" ca="1" si="30"/>
        <v>3472.35</v>
      </c>
      <c r="Q57" s="76">
        <f t="shared" ca="1" si="30"/>
        <v>0</v>
      </c>
      <c r="R57" s="76">
        <f t="shared" ca="1" si="30"/>
        <v>5555.76</v>
      </c>
      <c r="S57" s="41"/>
      <c r="T57" s="76">
        <f t="shared" ca="1" si="13"/>
        <v>4979</v>
      </c>
      <c r="U57" s="76">
        <f t="shared" ca="1" si="22"/>
        <v>1190</v>
      </c>
      <c r="V57" s="40"/>
      <c r="W57" s="77">
        <f t="shared" ca="1" si="17"/>
        <v>1</v>
      </c>
      <c r="X57" s="77">
        <f t="shared" ca="1" si="31"/>
        <v>1</v>
      </c>
      <c r="Y57" s="77">
        <f t="shared" ca="1" si="31"/>
        <v>5</v>
      </c>
      <c r="Z57" s="77">
        <f t="shared" ca="1" si="31"/>
        <v>1</v>
      </c>
      <c r="AA57" s="41"/>
      <c r="AB57" s="77">
        <f t="shared" ca="1" si="23"/>
        <v>1</v>
      </c>
      <c r="AC57" s="77">
        <f t="shared" ca="1" si="23"/>
        <v>5</v>
      </c>
      <c r="AD57" s="77">
        <f t="shared" ca="1" si="24"/>
        <v>5</v>
      </c>
      <c r="AE57" s="77">
        <f t="shared" ca="1" si="23"/>
        <v>1</v>
      </c>
      <c r="AF57" s="77">
        <f t="shared" ca="1" si="23"/>
        <v>5</v>
      </c>
      <c r="AG57" s="77" t="str">
        <f t="shared" ca="1" si="23"/>
        <v/>
      </c>
      <c r="AH57" s="77" t="str">
        <f t="shared" ca="1" si="23"/>
        <v/>
      </c>
      <c r="AI57" s="77" t="str">
        <f t="shared" ca="1" si="23"/>
        <v/>
      </c>
      <c r="AJ57" s="41"/>
      <c r="AK57" s="77">
        <f t="shared" ca="1" si="25"/>
        <v>1</v>
      </c>
      <c r="AL57" s="77">
        <f t="shared" ca="1" si="25"/>
        <v>3</v>
      </c>
      <c r="AM57" s="80"/>
      <c r="AN57" s="77">
        <f t="shared" ca="1" si="28"/>
        <v>2</v>
      </c>
    </row>
    <row r="58" spans="3:40" x14ac:dyDescent="0.4">
      <c r="C58" s="17" t="str">
        <f>Indicator_Input!$B56</f>
        <v>Rohan</v>
      </c>
      <c r="D58" s="17" t="str">
        <f>Indicator_Input!$C56</f>
        <v>Folde</v>
      </c>
      <c r="E58" s="76">
        <f t="shared" ca="1" si="32"/>
        <v>0</v>
      </c>
      <c r="F58" s="76">
        <f t="shared" ca="1" si="32"/>
        <v>0</v>
      </c>
      <c r="G58" s="76">
        <f t="shared" ca="1" si="32"/>
        <v>0</v>
      </c>
      <c r="H58" s="76">
        <f t="shared" ca="1" si="32"/>
        <v>97.640000000000086</v>
      </c>
      <c r="I58" s="76">
        <f t="shared" ca="1" si="32"/>
        <v>0</v>
      </c>
      <c r="J58" s="76">
        <f t="shared" ca="1" si="32"/>
        <v>0</v>
      </c>
      <c r="K58" s="76">
        <f t="shared" ca="1" si="32"/>
        <v>0</v>
      </c>
      <c r="L58" s="76">
        <f t="shared" ca="1" si="32"/>
        <v>6541.88</v>
      </c>
      <c r="M58" s="41"/>
      <c r="N58" s="76">
        <f t="shared" ca="1" si="30"/>
        <v>2538.64</v>
      </c>
      <c r="O58" s="76">
        <f t="shared" ca="1" si="30"/>
        <v>0</v>
      </c>
      <c r="P58" s="76">
        <f t="shared" ca="1" si="30"/>
        <v>0</v>
      </c>
      <c r="Q58" s="76">
        <f t="shared" ca="1" si="30"/>
        <v>1855.1600000000005</v>
      </c>
      <c r="R58" s="76">
        <f t="shared" ca="1" si="30"/>
        <v>5565.4800000000005</v>
      </c>
      <c r="S58" s="41"/>
      <c r="T58" s="76">
        <f t="shared" ca="1" si="13"/>
        <v>9351</v>
      </c>
      <c r="U58" s="76">
        <f t="shared" ca="1" si="22"/>
        <v>834</v>
      </c>
      <c r="V58" s="40"/>
      <c r="W58" s="77">
        <f t="shared" ca="1" si="17"/>
        <v>1</v>
      </c>
      <c r="X58" s="77">
        <f t="shared" ca="1" si="31"/>
        <v>1</v>
      </c>
      <c r="Y58" s="77">
        <f t="shared" ca="1" si="31"/>
        <v>1</v>
      </c>
      <c r="Z58" s="77">
        <f t="shared" ca="1" si="31"/>
        <v>1</v>
      </c>
      <c r="AA58" s="41"/>
      <c r="AB58" s="77">
        <f t="shared" ca="1" si="23"/>
        <v>1</v>
      </c>
      <c r="AC58" s="77">
        <f t="shared" ca="1" si="23"/>
        <v>5</v>
      </c>
      <c r="AD58" s="77">
        <f t="shared" ca="1" si="24"/>
        <v>1</v>
      </c>
      <c r="AE58" s="77">
        <f t="shared" ca="1" si="23"/>
        <v>5</v>
      </c>
      <c r="AF58" s="77">
        <f t="shared" ca="1" si="23"/>
        <v>5</v>
      </c>
      <c r="AG58" s="77" t="str">
        <f t="shared" ca="1" si="23"/>
        <v/>
      </c>
      <c r="AH58" s="77" t="str">
        <f t="shared" ca="1" si="23"/>
        <v/>
      </c>
      <c r="AI58" s="77" t="str">
        <f t="shared" ca="1" si="23"/>
        <v/>
      </c>
      <c r="AJ58" s="41"/>
      <c r="AK58" s="77">
        <f t="shared" ca="1" si="25"/>
        <v>3</v>
      </c>
      <c r="AL58" s="77">
        <f t="shared" ca="1" si="25"/>
        <v>3</v>
      </c>
      <c r="AM58" s="80"/>
      <c r="AN58" s="77">
        <f t="shared" ca="1" si="28"/>
        <v>2</v>
      </c>
    </row>
    <row r="59" spans="3:40" x14ac:dyDescent="0.4">
      <c r="C59" s="17" t="str">
        <f>Indicator_Input!$B57</f>
        <v>Rohan</v>
      </c>
      <c r="D59" s="17" t="str">
        <f>Indicator_Input!$C57</f>
        <v>The Wold</v>
      </c>
      <c r="E59" s="76">
        <f t="shared" ca="1" si="32"/>
        <v>0</v>
      </c>
      <c r="F59" s="76">
        <f t="shared" ca="1" si="32"/>
        <v>0</v>
      </c>
      <c r="G59" s="76">
        <f t="shared" ca="1" si="32"/>
        <v>0</v>
      </c>
      <c r="H59" s="76">
        <f t="shared" ca="1" si="32"/>
        <v>1732.9</v>
      </c>
      <c r="I59" s="76">
        <f t="shared" ca="1" si="32"/>
        <v>0</v>
      </c>
      <c r="J59" s="76">
        <f t="shared" ca="1" si="32"/>
        <v>6665</v>
      </c>
      <c r="K59" s="76">
        <f t="shared" ca="1" si="32"/>
        <v>0</v>
      </c>
      <c r="L59" s="76">
        <f t="shared" ca="1" si="32"/>
        <v>2132.8000000000006</v>
      </c>
      <c r="M59" s="41"/>
      <c r="N59" s="76">
        <f t="shared" ca="1" si="30"/>
        <v>799.8</v>
      </c>
      <c r="O59" s="76">
        <f t="shared" ca="1" si="30"/>
        <v>266.60000000000025</v>
      </c>
      <c r="P59" s="76">
        <f t="shared" ca="1" si="30"/>
        <v>466.54999999999967</v>
      </c>
      <c r="Q59" s="76">
        <f t="shared" ca="1" si="30"/>
        <v>3665.7500000000005</v>
      </c>
      <c r="R59" s="76">
        <f t="shared" ca="1" si="30"/>
        <v>1399.6500000000005</v>
      </c>
      <c r="S59" s="41"/>
      <c r="T59" s="76">
        <f t="shared" ca="1" si="13"/>
        <v>5135</v>
      </c>
      <c r="U59" s="76">
        <f t="shared" ca="1" si="22"/>
        <v>943</v>
      </c>
      <c r="V59" s="40"/>
      <c r="W59" s="77">
        <f t="shared" ca="1" si="17"/>
        <v>4</v>
      </c>
      <c r="X59" s="77">
        <f t="shared" ca="1" si="31"/>
        <v>1</v>
      </c>
      <c r="Y59" s="77">
        <f t="shared" ca="1" si="31"/>
        <v>1</v>
      </c>
      <c r="Z59" s="77">
        <f t="shared" ca="1" si="31"/>
        <v>1</v>
      </c>
      <c r="AA59" s="41"/>
      <c r="AB59" s="77">
        <f t="shared" ca="1" si="23"/>
        <v>1</v>
      </c>
      <c r="AC59" s="77">
        <f t="shared" ca="1" si="23"/>
        <v>5</v>
      </c>
      <c r="AD59" s="77">
        <f t="shared" ca="1" si="24"/>
        <v>4</v>
      </c>
      <c r="AE59" s="77">
        <f t="shared" ca="1" si="23"/>
        <v>5</v>
      </c>
      <c r="AF59" s="77">
        <f t="shared" ca="1" si="23"/>
        <v>5</v>
      </c>
      <c r="AG59" s="77" t="str">
        <f t="shared" ca="1" si="23"/>
        <v/>
      </c>
      <c r="AH59" s="77" t="str">
        <f t="shared" ca="1" si="23"/>
        <v/>
      </c>
      <c r="AI59" s="77" t="str">
        <f t="shared" ca="1" si="23"/>
        <v/>
      </c>
      <c r="AJ59" s="41"/>
      <c r="AK59" s="77">
        <f t="shared" ca="1" si="25"/>
        <v>4</v>
      </c>
      <c r="AL59" s="77">
        <f t="shared" ca="1" si="25"/>
        <v>3</v>
      </c>
      <c r="AM59" s="80"/>
      <c r="AN59" s="77">
        <f t="shared" ca="1" si="28"/>
        <v>5</v>
      </c>
    </row>
    <row r="60" spans="3:40" x14ac:dyDescent="0.4">
      <c r="C60" s="17" t="str">
        <f>Indicator_Input!$B58</f>
        <v>Rohan</v>
      </c>
      <c r="D60" s="17" t="str">
        <f>Indicator_Input!$C58</f>
        <v>Westemnet</v>
      </c>
      <c r="E60" s="76">
        <f t="shared" ca="1" si="32"/>
        <v>0</v>
      </c>
      <c r="F60" s="76">
        <f t="shared" ca="1" si="32"/>
        <v>25936.777777777777</v>
      </c>
      <c r="G60" s="76">
        <f t="shared" ca="1" si="32"/>
        <v>31659</v>
      </c>
      <c r="H60" s="76">
        <f t="shared" ca="1" si="32"/>
        <v>17447.700000000004</v>
      </c>
      <c r="I60" s="76">
        <f t="shared" ca="1" si="32"/>
        <v>0</v>
      </c>
      <c r="J60" s="76">
        <f t="shared" ca="1" si="32"/>
        <v>0</v>
      </c>
      <c r="K60" s="76">
        <f t="shared" ca="1" si="32"/>
        <v>0</v>
      </c>
      <c r="L60" s="76">
        <f t="shared" ca="1" si="32"/>
        <v>9305.4400000000023</v>
      </c>
      <c r="M60" s="41"/>
      <c r="N60" s="76">
        <f t="shared" ca="1" si="30"/>
        <v>9305.44</v>
      </c>
      <c r="O60" s="76">
        <f t="shared" ca="1" si="30"/>
        <v>20937.239999999998</v>
      </c>
      <c r="P60" s="76">
        <f t="shared" ca="1" si="30"/>
        <v>0</v>
      </c>
      <c r="Q60" s="76">
        <f t="shared" ca="1" si="30"/>
        <v>51179.92</v>
      </c>
      <c r="R60" s="76">
        <f t="shared" ca="1" si="30"/>
        <v>37221.760000000002</v>
      </c>
      <c r="S60" s="41"/>
      <c r="T60" s="76">
        <f t="shared" ca="1" si="13"/>
        <v>21802</v>
      </c>
      <c r="U60" s="76">
        <f t="shared" ca="1" si="22"/>
        <v>2003</v>
      </c>
      <c r="V60" s="40"/>
      <c r="W60" s="77">
        <f t="shared" ca="1" si="17"/>
        <v>3</v>
      </c>
      <c r="X60" s="77">
        <f t="shared" ca="1" si="31"/>
        <v>4</v>
      </c>
      <c r="Y60" s="77">
        <f t="shared" ca="1" si="31"/>
        <v>1</v>
      </c>
      <c r="Z60" s="77">
        <f t="shared" ca="1" si="31"/>
        <v>1</v>
      </c>
      <c r="AA60" s="41"/>
      <c r="AB60" s="77">
        <f t="shared" ca="1" si="23"/>
        <v>1</v>
      </c>
      <c r="AC60" s="77">
        <f t="shared" ca="1" si="23"/>
        <v>5</v>
      </c>
      <c r="AD60" s="77">
        <f t="shared" ca="1" si="24"/>
        <v>1</v>
      </c>
      <c r="AE60" s="77">
        <f t="shared" ca="1" si="23"/>
        <v>5</v>
      </c>
      <c r="AF60" s="77">
        <f t="shared" ca="1" si="23"/>
        <v>5</v>
      </c>
      <c r="AG60" s="77" t="str">
        <f t="shared" ca="1" si="23"/>
        <v/>
      </c>
      <c r="AH60" s="77" t="str">
        <f t="shared" ca="1" si="23"/>
        <v/>
      </c>
      <c r="AI60" s="77" t="str">
        <f t="shared" ca="1" si="23"/>
        <v/>
      </c>
      <c r="AJ60" s="41"/>
      <c r="AK60" s="77">
        <f t="shared" ca="1" si="25"/>
        <v>4</v>
      </c>
      <c r="AL60" s="77">
        <f t="shared" ca="1" si="25"/>
        <v>2</v>
      </c>
      <c r="AM60" s="80"/>
      <c r="AN60" s="77">
        <f t="shared" ca="1" si="28"/>
        <v>1</v>
      </c>
    </row>
    <row r="61" spans="3:40" x14ac:dyDescent="0.4">
      <c r="C61" s="17" t="str">
        <f>Indicator_Input!$B59</f>
        <v>Rohan</v>
      </c>
      <c r="D61" s="17" t="str">
        <f>Indicator_Input!$C59</f>
        <v>Westfold</v>
      </c>
      <c r="E61" s="76">
        <f t="shared" ca="1" si="32"/>
        <v>0</v>
      </c>
      <c r="F61" s="76">
        <f t="shared" ca="1" si="32"/>
        <v>0</v>
      </c>
      <c r="G61" s="76">
        <f t="shared" ca="1" si="32"/>
        <v>0</v>
      </c>
      <c r="H61" s="76">
        <f t="shared" ca="1" si="32"/>
        <v>3135.2400000000002</v>
      </c>
      <c r="I61" s="76">
        <f t="shared" ca="1" si="32"/>
        <v>0</v>
      </c>
      <c r="J61" s="76">
        <f t="shared" ca="1" si="32"/>
        <v>0</v>
      </c>
      <c r="K61" s="76">
        <f t="shared" ca="1" si="32"/>
        <v>0</v>
      </c>
      <c r="L61" s="76">
        <f t="shared" ca="1" si="32"/>
        <v>2873.9700000000007</v>
      </c>
      <c r="M61" s="41"/>
      <c r="N61" s="76">
        <f t="shared" ca="1" si="30"/>
        <v>1741.8000000000002</v>
      </c>
      <c r="O61" s="76">
        <f t="shared" ca="1" si="30"/>
        <v>0</v>
      </c>
      <c r="P61" s="76">
        <f t="shared" ca="1" si="30"/>
        <v>4877.0399999999991</v>
      </c>
      <c r="Q61" s="76">
        <f t="shared" ca="1" si="30"/>
        <v>3831.96</v>
      </c>
      <c r="R61" s="76">
        <f t="shared" ca="1" si="30"/>
        <v>4702.8600000000006</v>
      </c>
      <c r="S61" s="41"/>
      <c r="T61" s="76">
        <f t="shared" ca="1" si="13"/>
        <v>1978</v>
      </c>
      <c r="U61" s="76">
        <f t="shared" ca="1" si="22"/>
        <v>516</v>
      </c>
      <c r="V61" s="40"/>
      <c r="W61" s="77">
        <f t="shared" ca="1" si="17"/>
        <v>1</v>
      </c>
      <c r="X61" s="77">
        <f t="shared" ca="1" si="31"/>
        <v>1</v>
      </c>
      <c r="Y61" s="77">
        <f t="shared" ca="1" si="31"/>
        <v>1</v>
      </c>
      <c r="Z61" s="77">
        <f t="shared" ca="1" si="31"/>
        <v>1</v>
      </c>
      <c r="AA61" s="41"/>
      <c r="AB61" s="77">
        <f t="shared" ca="1" si="23"/>
        <v>1</v>
      </c>
      <c r="AC61" s="77">
        <f t="shared" ca="1" si="23"/>
        <v>5</v>
      </c>
      <c r="AD61" s="77">
        <f t="shared" ca="1" si="24"/>
        <v>5</v>
      </c>
      <c r="AE61" s="77">
        <f t="shared" ca="1" si="23"/>
        <v>5</v>
      </c>
      <c r="AF61" s="77">
        <f t="shared" ca="1" si="23"/>
        <v>5</v>
      </c>
      <c r="AG61" s="77" t="str">
        <f t="shared" ca="1" si="23"/>
        <v/>
      </c>
      <c r="AH61" s="77" t="str">
        <f t="shared" ca="1" si="23"/>
        <v/>
      </c>
      <c r="AI61" s="77" t="str">
        <f t="shared" ca="1" si="23"/>
        <v/>
      </c>
      <c r="AJ61" s="41"/>
      <c r="AK61" s="77">
        <f t="shared" ca="1" si="25"/>
        <v>4</v>
      </c>
      <c r="AL61" s="77">
        <f t="shared" ca="1" si="25"/>
        <v>3</v>
      </c>
      <c r="AM61" s="80"/>
      <c r="AN61" s="77">
        <f t="shared" ca="1" si="28"/>
        <v>4</v>
      </c>
    </row>
  </sheetData>
  <phoneticPr fontId="2" type="noConversion"/>
  <conditionalFormatting sqref="E62 E64 E66 E68 E70 E72 E74 E76 E78 E80">
    <cfRule type="top10" dxfId="131" priority="652" rank="1"/>
  </conditionalFormatting>
  <conditionalFormatting sqref="AB62 AB64 AB66 AB68 AB70 AB72 AB74 AB76 AB78 AB80 AK62 AK64 AK66 AK68 AK70 AK72 AK74 AK76 AK78 AK80">
    <cfRule type="top10" dxfId="130" priority="649" rank="1"/>
  </conditionalFormatting>
  <conditionalFormatting sqref="AC62:AC80 AF62:AF80">
    <cfRule type="top10" dxfId="129" priority="855" rank="1"/>
  </conditionalFormatting>
  <conditionalFormatting sqref="G64 G66 G68 G70 G72 G74 G76 G78 G80">
    <cfRule type="top10" dxfId="128" priority="487" rank="1"/>
  </conditionalFormatting>
  <conditionalFormatting sqref="G62">
    <cfRule type="top10" dxfId="127" priority="470" rank="1"/>
  </conditionalFormatting>
  <conditionalFormatting sqref="J62:K80">
    <cfRule type="top10" dxfId="126" priority="437" rank="1"/>
  </conditionalFormatting>
  <conditionalFormatting sqref="L62 L64 L66 L68 L70 L72 L74 L76 L78 L80">
    <cfRule type="top10" dxfId="125" priority="403" rank="1"/>
  </conditionalFormatting>
  <conditionalFormatting sqref="T62:U62 T64:U64 T66:U66 T68:U68 T70:U70 T72:U72 T74:U74 T76:U76 T78:U78 T80:U80">
    <cfRule type="top10" dxfId="124" priority="337" rank="1"/>
  </conditionalFormatting>
  <conditionalFormatting sqref="F62:F80">
    <cfRule type="top10" dxfId="123" priority="1408" rank="1"/>
  </conditionalFormatting>
  <conditionalFormatting sqref="H62:H80">
    <cfRule type="top10" dxfId="122" priority="1716" rank="1"/>
  </conditionalFormatting>
  <conditionalFormatting sqref="I62:I80">
    <cfRule type="top10" dxfId="121" priority="1993" rank="1"/>
  </conditionalFormatting>
  <conditionalFormatting sqref="AL62 AN62 AL64 AN64 AL66 AN66 AL68 AN68 AL70 AN70 AL72 AN72 AL74 AN74 AL76 AN76 AL78 AN78 AL80 AN80">
    <cfRule type="top10" dxfId="120" priority="2043" rank="1"/>
  </conditionalFormatting>
  <conditionalFormatting sqref="N62:P62 N64:P64 N66:P66 N68:P68 N70:P70 N72:P72 N74:P74 N76:P76 N78:P78 N80:P80">
    <cfRule type="top10" dxfId="119" priority="2349" rank="1"/>
  </conditionalFormatting>
  <conditionalFormatting sqref="AE62:AE80">
    <cfRule type="top10" dxfId="118" priority="119" rank="1"/>
  </conditionalFormatting>
  <conditionalFormatting sqref="AD62:AD80">
    <cfRule type="top10" dxfId="117" priority="118" rank="1"/>
  </conditionalFormatting>
  <conditionalFormatting sqref="AI62:AI80">
    <cfRule type="top10" dxfId="116" priority="117" rank="1"/>
  </conditionalFormatting>
  <conditionalFormatting sqref="AH62:AH80">
    <cfRule type="top10" dxfId="115" priority="116" rank="1"/>
  </conditionalFormatting>
  <conditionalFormatting sqref="AG62:AG80">
    <cfRule type="top10" dxfId="114" priority="115" rank="1"/>
  </conditionalFormatting>
  <conditionalFormatting sqref="Q62 Q64 Q66 Q68 Q70 Q72 Q74 Q76 Q78 Q80">
    <cfRule type="top10" dxfId="113" priority="114" rank="1"/>
  </conditionalFormatting>
  <conditionalFormatting sqref="R62 R64 R66 R68 R70 R72 R74 R76 R78 R80">
    <cfRule type="top10" dxfId="112" priority="113" rank="1"/>
  </conditionalFormatting>
  <conditionalFormatting sqref="E6:L6">
    <cfRule type="top10" dxfId="111" priority="112" rank="1"/>
  </conditionalFormatting>
  <conditionalFormatting sqref="E7:L7">
    <cfRule type="top10" dxfId="110" priority="111" rank="1"/>
  </conditionalFormatting>
  <conditionalFormatting sqref="E8:L8">
    <cfRule type="top10" dxfId="109" priority="110" rank="1"/>
  </conditionalFormatting>
  <conditionalFormatting sqref="E9:L9">
    <cfRule type="top10" dxfId="108" priority="109" rank="1"/>
  </conditionalFormatting>
  <conditionalFormatting sqref="E10:L10">
    <cfRule type="top10" dxfId="107" priority="108" rank="1"/>
  </conditionalFormatting>
  <conditionalFormatting sqref="E11:L11">
    <cfRule type="top10" dxfId="106" priority="107" rank="1"/>
  </conditionalFormatting>
  <conditionalFormatting sqref="E12:L12">
    <cfRule type="top10" dxfId="105" priority="106" rank="1"/>
  </conditionalFormatting>
  <conditionalFormatting sqref="E13:L13">
    <cfRule type="top10" dxfId="104" priority="105" rank="1"/>
  </conditionalFormatting>
  <conditionalFormatting sqref="E14:L14">
    <cfRule type="top10" dxfId="103" priority="104" rank="1"/>
  </conditionalFormatting>
  <conditionalFormatting sqref="E15:L15">
    <cfRule type="top10" dxfId="102" priority="103" rank="1"/>
  </conditionalFormatting>
  <conditionalFormatting sqref="E16:L16">
    <cfRule type="top10" dxfId="101" priority="102" rank="1"/>
  </conditionalFormatting>
  <conditionalFormatting sqref="E17:L17">
    <cfRule type="top10" dxfId="100" priority="101" rank="1"/>
  </conditionalFormatting>
  <conditionalFormatting sqref="E18:L18">
    <cfRule type="top10" dxfId="99" priority="100" rank="1"/>
  </conditionalFormatting>
  <conditionalFormatting sqref="E19:L19">
    <cfRule type="top10" dxfId="98" priority="99" rank="1"/>
  </conditionalFormatting>
  <conditionalFormatting sqref="E20:L20">
    <cfRule type="top10" dxfId="97" priority="98" rank="1"/>
  </conditionalFormatting>
  <conditionalFormatting sqref="E21:L21">
    <cfRule type="top10" dxfId="96" priority="97" rank="1"/>
  </conditionalFormatting>
  <conditionalFormatting sqref="E22:L22">
    <cfRule type="top10" dxfId="95" priority="96" rank="1"/>
  </conditionalFormatting>
  <conditionalFormatting sqref="E23:L23">
    <cfRule type="top10" dxfId="94" priority="95" rank="1"/>
  </conditionalFormatting>
  <conditionalFormatting sqref="E24:L24">
    <cfRule type="top10" dxfId="93" priority="94" rank="1"/>
  </conditionalFormatting>
  <conditionalFormatting sqref="E25:L25">
    <cfRule type="top10" dxfId="92" priority="93" rank="1"/>
  </conditionalFormatting>
  <conditionalFormatting sqref="E26:L26">
    <cfRule type="top10" dxfId="91" priority="92" rank="1"/>
  </conditionalFormatting>
  <conditionalFormatting sqref="E27:L27">
    <cfRule type="top10" dxfId="90" priority="91" rank="1"/>
  </conditionalFormatting>
  <conditionalFormatting sqref="E28:L28">
    <cfRule type="top10" dxfId="89" priority="90" rank="1"/>
  </conditionalFormatting>
  <conditionalFormatting sqref="E29:L29">
    <cfRule type="top10" dxfId="88" priority="89" rank="1"/>
  </conditionalFormatting>
  <conditionalFormatting sqref="E30:L30">
    <cfRule type="top10" dxfId="87" priority="88" rank="1"/>
  </conditionalFormatting>
  <conditionalFormatting sqref="E31:L31">
    <cfRule type="top10" dxfId="86" priority="87" rank="1"/>
  </conditionalFormatting>
  <conditionalFormatting sqref="E32:L32">
    <cfRule type="top10" dxfId="85" priority="86" rank="1"/>
  </conditionalFormatting>
  <conditionalFormatting sqref="E33:L33">
    <cfRule type="top10" dxfId="84" priority="85" rank="1"/>
  </conditionalFormatting>
  <conditionalFormatting sqref="E34:L34">
    <cfRule type="top10" dxfId="83" priority="84" rank="1"/>
  </conditionalFormatting>
  <conditionalFormatting sqref="E35:L35">
    <cfRule type="top10" dxfId="82" priority="83" rank="1"/>
  </conditionalFormatting>
  <conditionalFormatting sqref="E36:L36">
    <cfRule type="top10" dxfId="81" priority="82" rank="1"/>
  </conditionalFormatting>
  <conditionalFormatting sqref="E37:L37">
    <cfRule type="top10" dxfId="80" priority="81" rank="1"/>
  </conditionalFormatting>
  <conditionalFormatting sqref="E38:L38">
    <cfRule type="top10" dxfId="79" priority="80" rank="1"/>
  </conditionalFormatting>
  <conditionalFormatting sqref="E39:L39">
    <cfRule type="top10" dxfId="78" priority="79" rank="1"/>
  </conditionalFormatting>
  <conditionalFormatting sqref="E40:L40">
    <cfRule type="top10" dxfId="77" priority="78" rank="1"/>
  </conditionalFormatting>
  <conditionalFormatting sqref="E41:L41">
    <cfRule type="top10" dxfId="76" priority="77" rank="1"/>
  </conditionalFormatting>
  <conditionalFormatting sqref="E42:L42">
    <cfRule type="top10" dxfId="75" priority="76" rank="1"/>
  </conditionalFormatting>
  <conditionalFormatting sqref="E43:L43">
    <cfRule type="top10" dxfId="74" priority="75" rank="1"/>
  </conditionalFormatting>
  <conditionalFormatting sqref="E44:L44">
    <cfRule type="top10" dxfId="73" priority="74" rank="1"/>
  </conditionalFormatting>
  <conditionalFormatting sqref="E45:L45">
    <cfRule type="top10" dxfId="72" priority="73" rank="1"/>
  </conditionalFormatting>
  <conditionalFormatting sqref="E46:L46">
    <cfRule type="top10" dxfId="71" priority="72" rank="1"/>
  </conditionalFormatting>
  <conditionalFormatting sqref="E47:L47">
    <cfRule type="top10" dxfId="70" priority="71" rank="1"/>
  </conditionalFormatting>
  <conditionalFormatting sqref="E48:L48">
    <cfRule type="top10" dxfId="69" priority="70" rank="1"/>
  </conditionalFormatting>
  <conditionalFormatting sqref="E49:L49">
    <cfRule type="top10" dxfId="68" priority="69" rank="1"/>
  </conditionalFormatting>
  <conditionalFormatting sqref="E50:L50">
    <cfRule type="top10" dxfId="67" priority="68" rank="1"/>
  </conditionalFormatting>
  <conditionalFormatting sqref="E51:L51">
    <cfRule type="top10" dxfId="66" priority="67" rank="1"/>
  </conditionalFormatting>
  <conditionalFormatting sqref="E52:L52">
    <cfRule type="top10" dxfId="65" priority="66" rank="1"/>
  </conditionalFormatting>
  <conditionalFormatting sqref="E53:L53">
    <cfRule type="top10" dxfId="64" priority="65" rank="1"/>
  </conditionalFormatting>
  <conditionalFormatting sqref="E54:L54">
    <cfRule type="top10" dxfId="63" priority="64" rank="1"/>
  </conditionalFormatting>
  <conditionalFormatting sqref="E55:L55">
    <cfRule type="top10" dxfId="62" priority="63" rank="1"/>
  </conditionalFormatting>
  <conditionalFormatting sqref="E56:L56">
    <cfRule type="top10" dxfId="61" priority="62" rank="1"/>
  </conditionalFormatting>
  <conditionalFormatting sqref="E57:L57">
    <cfRule type="top10" dxfId="60" priority="61" rank="1"/>
  </conditionalFormatting>
  <conditionalFormatting sqref="E58:L58">
    <cfRule type="top10" dxfId="59" priority="60" rank="1"/>
  </conditionalFormatting>
  <conditionalFormatting sqref="E59:L59">
    <cfRule type="top10" dxfId="58" priority="59" rank="1"/>
  </conditionalFormatting>
  <conditionalFormatting sqref="E60:L60">
    <cfRule type="top10" dxfId="57" priority="58" rank="1"/>
  </conditionalFormatting>
  <conditionalFormatting sqref="E61:L61">
    <cfRule type="top10" dxfId="56" priority="57" rank="1"/>
  </conditionalFormatting>
  <conditionalFormatting sqref="N6:R6">
    <cfRule type="top10" dxfId="55" priority="56" rank="1"/>
  </conditionalFormatting>
  <conditionalFormatting sqref="N7:R7">
    <cfRule type="top10" dxfId="54" priority="55" rank="1"/>
  </conditionalFormatting>
  <conditionalFormatting sqref="N8:R8">
    <cfRule type="top10" dxfId="53" priority="54" rank="1"/>
  </conditionalFormatting>
  <conditionalFormatting sqref="N9:R9">
    <cfRule type="top10" dxfId="52" priority="53" rank="1"/>
  </conditionalFormatting>
  <conditionalFormatting sqref="N10:R10">
    <cfRule type="top10" dxfId="51" priority="52" rank="1"/>
  </conditionalFormatting>
  <conditionalFormatting sqref="N11:R11">
    <cfRule type="top10" dxfId="50" priority="51" rank="1"/>
  </conditionalFormatting>
  <conditionalFormatting sqref="N12:R12">
    <cfRule type="top10" dxfId="49" priority="50" rank="1"/>
  </conditionalFormatting>
  <conditionalFormatting sqref="N13:R13">
    <cfRule type="top10" dxfId="48" priority="49" rank="1"/>
  </conditionalFormatting>
  <conditionalFormatting sqref="N14:R14">
    <cfRule type="top10" dxfId="47" priority="48" rank="1"/>
  </conditionalFormatting>
  <conditionalFormatting sqref="N15:R15">
    <cfRule type="top10" dxfId="46" priority="47" rank="1"/>
  </conditionalFormatting>
  <conditionalFormatting sqref="N16:R16">
    <cfRule type="top10" dxfId="45" priority="46" rank="1"/>
  </conditionalFormatting>
  <conditionalFormatting sqref="N17:R17">
    <cfRule type="top10" dxfId="44" priority="45" rank="1"/>
  </conditionalFormatting>
  <conditionalFormatting sqref="N18:R18">
    <cfRule type="top10" dxfId="43" priority="44" rank="1"/>
  </conditionalFormatting>
  <conditionalFormatting sqref="N19:R19">
    <cfRule type="top10" dxfId="42" priority="43" rank="1"/>
  </conditionalFormatting>
  <conditionalFormatting sqref="N20:R20">
    <cfRule type="top10" dxfId="41" priority="42" rank="1"/>
  </conditionalFormatting>
  <conditionalFormatting sqref="N21:R21">
    <cfRule type="top10" dxfId="40" priority="41" rank="1"/>
  </conditionalFormatting>
  <conditionalFormatting sqref="N22:R22">
    <cfRule type="top10" dxfId="39" priority="40" rank="1"/>
  </conditionalFormatting>
  <conditionalFormatting sqref="N23:R23">
    <cfRule type="top10" dxfId="38" priority="39" rank="1"/>
  </conditionalFormatting>
  <conditionalFormatting sqref="N24:R24">
    <cfRule type="top10" dxfId="37" priority="38" rank="1"/>
  </conditionalFormatting>
  <conditionalFormatting sqref="N25:R25">
    <cfRule type="top10" dxfId="36" priority="37" rank="1"/>
  </conditionalFormatting>
  <conditionalFormatting sqref="N26:R26">
    <cfRule type="top10" dxfId="35" priority="36" rank="1"/>
  </conditionalFormatting>
  <conditionalFormatting sqref="N27:R27">
    <cfRule type="top10" dxfId="34" priority="35" rank="1"/>
  </conditionalFormatting>
  <conditionalFormatting sqref="N28:R28">
    <cfRule type="top10" dxfId="33" priority="34" rank="1"/>
  </conditionalFormatting>
  <conditionalFormatting sqref="N29:R29">
    <cfRule type="top10" dxfId="32" priority="33" rank="1"/>
  </conditionalFormatting>
  <conditionalFormatting sqref="N30:R30">
    <cfRule type="top10" dxfId="31" priority="32" rank="1"/>
  </conditionalFormatting>
  <conditionalFormatting sqref="N31:R31">
    <cfRule type="top10" dxfId="30" priority="31" rank="1"/>
  </conditionalFormatting>
  <conditionalFormatting sqref="N32:R32">
    <cfRule type="top10" dxfId="29" priority="30" rank="1"/>
  </conditionalFormatting>
  <conditionalFormatting sqref="N33:R33">
    <cfRule type="top10" dxfId="28" priority="29" rank="1"/>
  </conditionalFormatting>
  <conditionalFormatting sqref="N34:R34">
    <cfRule type="top10" dxfId="27" priority="28" rank="1"/>
  </conditionalFormatting>
  <conditionalFormatting sqref="N35:R35">
    <cfRule type="top10" dxfId="26" priority="27" rank="1"/>
  </conditionalFormatting>
  <conditionalFormatting sqref="N36:R36">
    <cfRule type="top10" dxfId="25" priority="26" rank="1"/>
  </conditionalFormatting>
  <conditionalFormatting sqref="N37:R37">
    <cfRule type="top10" dxfId="24" priority="25" rank="1"/>
  </conditionalFormatting>
  <conditionalFormatting sqref="N38:R38">
    <cfRule type="top10" dxfId="23" priority="24" rank="1"/>
  </conditionalFormatting>
  <conditionalFormatting sqref="N39:R39">
    <cfRule type="top10" dxfId="22" priority="23" rank="1"/>
  </conditionalFormatting>
  <conditionalFormatting sqref="N40:R40">
    <cfRule type="top10" dxfId="21" priority="22" rank="1"/>
  </conditionalFormatting>
  <conditionalFormatting sqref="N41:R41">
    <cfRule type="top10" dxfId="20" priority="21" rank="1"/>
  </conditionalFormatting>
  <conditionalFormatting sqref="N42:R42">
    <cfRule type="top10" dxfId="19" priority="20" rank="1"/>
  </conditionalFormatting>
  <conditionalFormatting sqref="N43:R43">
    <cfRule type="top10" dxfId="18" priority="19" rank="1"/>
  </conditionalFormatting>
  <conditionalFormatting sqref="N44:R44">
    <cfRule type="top10" dxfId="17" priority="18" rank="1"/>
  </conditionalFormatting>
  <conditionalFormatting sqref="N45:R45">
    <cfRule type="top10" dxfId="16" priority="17" rank="1"/>
  </conditionalFormatting>
  <conditionalFormatting sqref="N46:R46">
    <cfRule type="top10" dxfId="15" priority="16" rank="1"/>
  </conditionalFormatting>
  <conditionalFormatting sqref="N47:R47">
    <cfRule type="top10" dxfId="14" priority="15" rank="1"/>
  </conditionalFormatting>
  <conditionalFormatting sqref="N48:R48">
    <cfRule type="top10" dxfId="13" priority="14" rank="1"/>
  </conditionalFormatting>
  <conditionalFormatting sqref="N49:R49">
    <cfRule type="top10" dxfId="12" priority="13" rank="1"/>
  </conditionalFormatting>
  <conditionalFormatting sqref="N50:R50">
    <cfRule type="top10" dxfId="11" priority="12" rank="1"/>
  </conditionalFormatting>
  <conditionalFormatting sqref="N51:R51">
    <cfRule type="top10" dxfId="10" priority="11" rank="1"/>
  </conditionalFormatting>
  <conditionalFormatting sqref="N52:R52">
    <cfRule type="top10" dxfId="9" priority="10" rank="1"/>
  </conditionalFormatting>
  <conditionalFormatting sqref="N53:R53">
    <cfRule type="top10" dxfId="8" priority="9" rank="1"/>
  </conditionalFormatting>
  <conditionalFormatting sqref="N54:R54">
    <cfRule type="top10" dxfId="7" priority="8" rank="1"/>
  </conditionalFormatting>
  <conditionalFormatting sqref="N55:R55">
    <cfRule type="top10" dxfId="6" priority="7" rank="1"/>
  </conditionalFormatting>
  <conditionalFormatting sqref="N56:R56">
    <cfRule type="top10" dxfId="5" priority="6" rank="1"/>
  </conditionalFormatting>
  <conditionalFormatting sqref="N57:R57">
    <cfRule type="top10" dxfId="4" priority="5" rank="1"/>
  </conditionalFormatting>
  <conditionalFormatting sqref="N58:R58">
    <cfRule type="top10" dxfId="3" priority="4" rank="1"/>
  </conditionalFormatting>
  <conditionalFormatting sqref="N59:R59">
    <cfRule type="top10" dxfId="2" priority="3" rank="1"/>
  </conditionalFormatting>
  <conditionalFormatting sqref="N60:R60">
    <cfRule type="top10" dxfId="1" priority="2" rank="1"/>
  </conditionalFormatting>
  <conditionalFormatting sqref="N61:R61">
    <cfRule type="top10" dxfId="0" priority="1" rank="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746C9-705C-4345-8EAD-59B231E4E580}">
  <sheetPr>
    <tabColor rgb="FF92D050"/>
  </sheetPr>
  <dimension ref="C2:U47"/>
  <sheetViews>
    <sheetView showGridLines="0" zoomScaleNormal="60" workbookViewId="0">
      <pane xSplit="4" ySplit="7" topLeftCell="E8" activePane="bottomRight" state="frozen"/>
      <selection pane="topRight" activeCell="E1" sqref="E1"/>
      <selection pane="bottomLeft" activeCell="A7" sqref="A7"/>
      <selection pane="bottomRight" activeCell="J26" sqref="J26"/>
    </sheetView>
  </sheetViews>
  <sheetFormatPr defaultColWidth="10.6875" defaultRowHeight="15.75" x14ac:dyDescent="0.5"/>
  <cols>
    <col min="3" max="3" width="11.1875" customWidth="1"/>
    <col min="4" max="4" width="58.5" style="10" customWidth="1"/>
    <col min="5" max="5" width="14" style="10" customWidth="1"/>
    <col min="8" max="8" width="3.5" customWidth="1"/>
    <col min="10" max="10" width="43.6875" customWidth="1"/>
    <col min="11" max="11" width="14.8125" customWidth="1"/>
    <col min="12" max="12" width="12.5" bestFit="1" customWidth="1"/>
    <col min="13" max="13" width="12.5" customWidth="1"/>
    <col min="14" max="15" width="14.6875" customWidth="1"/>
    <col min="17" max="17" width="32.3125" customWidth="1"/>
    <col min="19" max="19" width="15.6875" customWidth="1"/>
    <col min="20" max="20" width="15.3125" customWidth="1"/>
  </cols>
  <sheetData>
    <row r="2" spans="3:20" ht="27" x14ac:dyDescent="0.65">
      <c r="C2" s="14" t="s">
        <v>20</v>
      </c>
    </row>
    <row r="3" spans="3:20" ht="28.5" x14ac:dyDescent="0.75">
      <c r="C3" s="25" t="s">
        <v>12</v>
      </c>
    </row>
    <row r="4" spans="3:20" ht="17.649999999999999" x14ac:dyDescent="0.5">
      <c r="D4" s="34"/>
      <c r="J4" s="13" t="s">
        <v>16</v>
      </c>
      <c r="K4" s="13"/>
      <c r="L4" s="21">
        <f>INDEX(Population,MATCH(D7,Pop_Admin2,0))</f>
        <v>53846</v>
      </c>
      <c r="M4" s="21"/>
    </row>
    <row r="5" spans="3:20" ht="20.25" x14ac:dyDescent="0.5">
      <c r="C5" s="13" t="s">
        <v>17</v>
      </c>
      <c r="D5" s="92" t="s">
        <v>324</v>
      </c>
      <c r="J5" s="13" t="s">
        <v>262</v>
      </c>
      <c r="K5" s="13"/>
      <c r="L5" s="21">
        <f ca="1">_xlfn.MAXIFS(G12:G20,G12:G20,"&gt;=0")</f>
        <v>39401.555555555555</v>
      </c>
      <c r="M5" s="21"/>
      <c r="O5" s="71"/>
    </row>
    <row r="6" spans="3:20" ht="20.25" x14ac:dyDescent="0.5">
      <c r="C6" s="13"/>
      <c r="D6" s="92"/>
      <c r="J6" s="13" t="s">
        <v>263</v>
      </c>
      <c r="K6" s="13"/>
      <c r="L6" s="21">
        <f ca="1">_xlfn.MAXIFS(M12:M15,M12:M15,"&gt;=0")</f>
        <v>34999.9</v>
      </c>
      <c r="M6" s="21"/>
    </row>
    <row r="7" spans="3:20" ht="20.25" x14ac:dyDescent="0.5">
      <c r="C7" s="13" t="s">
        <v>18</v>
      </c>
      <c r="D7" s="92" t="s">
        <v>330</v>
      </c>
      <c r="J7" s="13" t="s">
        <v>264</v>
      </c>
      <c r="K7" s="13"/>
      <c r="L7" s="21">
        <f ca="1">_xlfn.MAXIFS(T12:T14,T12:T14,"&gt;=0")</f>
        <v>9460</v>
      </c>
      <c r="M7" s="21"/>
    </row>
    <row r="8" spans="3:20" ht="17.649999999999999" x14ac:dyDescent="0.5">
      <c r="C8" s="13"/>
      <c r="D8" s="34"/>
      <c r="J8" s="13" t="s">
        <v>266</v>
      </c>
      <c r="K8" s="13"/>
      <c r="L8" s="70">
        <f ca="1">MAX(L5:L7)/L4</f>
        <v>0.73174526530393258</v>
      </c>
    </row>
    <row r="10" spans="3:20" x14ac:dyDescent="0.5">
      <c r="C10" s="99" t="s">
        <v>74</v>
      </c>
      <c r="D10" s="99"/>
      <c r="E10" s="99"/>
      <c r="F10" s="99"/>
      <c r="G10" s="99"/>
      <c r="I10" s="99" t="s">
        <v>61</v>
      </c>
      <c r="J10" s="99"/>
      <c r="K10" s="99"/>
      <c r="L10" s="99"/>
      <c r="M10" s="99"/>
      <c r="O10" s="97" t="s">
        <v>165</v>
      </c>
      <c r="P10" s="98"/>
      <c r="Q10" s="98"/>
      <c r="R10" s="98"/>
      <c r="S10" s="98"/>
      <c r="T10" s="98"/>
    </row>
    <row r="11" spans="3:20" x14ac:dyDescent="0.5">
      <c r="C11" s="12" t="s">
        <v>10</v>
      </c>
      <c r="D11" s="12" t="s">
        <v>0</v>
      </c>
      <c r="E11" s="22" t="s">
        <v>24</v>
      </c>
      <c r="F11" s="12" t="s">
        <v>22</v>
      </c>
      <c r="G11" s="12" t="s">
        <v>12</v>
      </c>
      <c r="I11" s="12" t="s">
        <v>10</v>
      </c>
      <c r="J11" s="12" t="s">
        <v>0</v>
      </c>
      <c r="K11" s="22" t="s">
        <v>24</v>
      </c>
      <c r="L11" s="12" t="s">
        <v>22</v>
      </c>
      <c r="M11" s="12" t="s">
        <v>12</v>
      </c>
      <c r="O11" s="47" t="s">
        <v>10</v>
      </c>
      <c r="P11" s="100" t="s">
        <v>0</v>
      </c>
      <c r="Q11" s="102"/>
      <c r="R11" s="47" t="s">
        <v>24</v>
      </c>
      <c r="S11" s="47" t="s">
        <v>22</v>
      </c>
      <c r="T11" s="47" t="s">
        <v>12</v>
      </c>
    </row>
    <row r="12" spans="3:20" ht="52.05" customHeight="1" x14ac:dyDescent="0.5">
      <c r="C12" s="11" t="s">
        <v>175</v>
      </c>
      <c r="D12" s="16" t="str">
        <f xml:space="preserve"> "Number of functioning health facilities Per "&amp;INDEX(PiN_Per,MATCH($C12,PiN_Code,0))&amp;" population"</f>
        <v>Number of functioning health facilities Per 10000 population</v>
      </c>
      <c r="E12" s="16" t="str">
        <f t="shared" ref="E12:E19" si="0">IF(INDEX(Data_Reliability,MATCH(C12,PiN_Code,0))="","",INDEX(Data_Reliability,MATCH(C12,PiN_Code,0)))</f>
        <v/>
      </c>
      <c r="F12" s="45">
        <f t="shared" ref="F12" ca="1" si="1">IF(INDEX(INDIRECT($C12),MATCH($D$7,IN_Admin2,0))="","",
IF(INDEX(Measure,MATCH(C12,PiN_Code,0))="Per",
INDEX(INDIRECT($C12),MATCH($D$7,IN_Admin2,0))/(INDEX(Population,MATCH($D$7,Pop_Admin2,0))/INDEX(PiN_Per,MATCH($C$12,PiN_Code,0))),
INDEX(INDIRECT($C12),MATCH($D$7,IN_Admin2,0))))</f>
        <v>4.0857259592170267</v>
      </c>
      <c r="G12" s="20">
        <f t="shared" ref="G12" ca="1" si="2">IF($F12="","",INDEX(INDIRECT("P_"&amp;$C12),MATCH($D$7,C_Admin2,0)))</f>
        <v>0</v>
      </c>
      <c r="I12" s="11" t="s">
        <v>48</v>
      </c>
      <c r="J12" s="16" t="s">
        <v>66</v>
      </c>
      <c r="K12" s="16" t="str">
        <f>IF(INDEX(Data_Reliability,MATCH(I12,PiN_Code,0))="","",INDEX(Data_Reliability,MATCH(I12,PiN_Code,0)))</f>
        <v/>
      </c>
      <c r="L12" s="45">
        <f ca="1">IF(INDEX(INDIRECT($I12),MATCH($D$7,IN_Admin2,0))="","",
IF(INDEX(Measure,MATCH(I12,PiN_Code,0))="Per",
INDEX(INDIRECT($I12),MATCH($D$7,IN_Admin2,0))/(INDEX(Population,MATCH($D$7,Pop_Admin2,0))/INDEX(PiN_Per,MATCH($I$12,PiN_Code,0))),
INDEX(INDIRECT($I12),MATCH($D$7,IN_Admin2,0))))</f>
        <v>0.23</v>
      </c>
      <c r="M12" s="20">
        <f ca="1">IF($L12="","",INDEX(INDIRECT("P_"&amp;$I12),MATCH($D$7,C_Admin2,0)))</f>
        <v>12384.58</v>
      </c>
      <c r="O12" s="11" t="s">
        <v>200</v>
      </c>
      <c r="P12" s="103" t="s">
        <v>265</v>
      </c>
      <c r="Q12" s="104"/>
      <c r="R12" s="16" t="str">
        <f>IF(INDEX(Data_Reliability,MATCH(O12,PiN_Code,0))="","",INDEX(Data_Reliability,MATCH(O12,PiN_Code,0)))</f>
        <v/>
      </c>
      <c r="S12" s="45">
        <f ca="1">IF(INDEX(INDIRECT($O12),MATCH($D$7,IN_Admin2,0))="","",
IF(INDEX(Measure,MATCH(O12,PiN_Code,0))="Per",
INDEX(INDIRECT($O12),MATCH($D$7,IN_Admin2,0))/(INDEX(Population,MATCH($D$7,Pop_Admin2,0))/INDEX(PiN_Per,MATCH($O$12,PiN_Code,0))),
INDEX(INDIRECT($O12),MATCH($D$7,IN_Admin2,0))))</f>
        <v>9460</v>
      </c>
      <c r="T12" s="20">
        <f ca="1">IF($S12="","",INDEX(INDIRECT("P_"&amp;$O12),MATCH($D$7,C_Admin2,0)))</f>
        <v>9460</v>
      </c>
    </row>
    <row r="13" spans="3:20" ht="51" customHeight="1" x14ac:dyDescent="0.5">
      <c r="C13" s="11" t="s">
        <v>180</v>
      </c>
      <c r="D13" s="16" t="str">
        <f>"Number of inpatient beds per "&amp;INDEX(PiN_Per,MATCH($C13,PiN_Code,0))&amp;" population"</f>
        <v>Number of inpatient beds per 10000 population</v>
      </c>
      <c r="E13" s="16" t="str">
        <f t="shared" si="0"/>
        <v/>
      </c>
      <c r="F13" s="45">
        <f t="shared" ref="F13:F19" ca="1" si="3">IF(INDEX(INDIRECT($C13),MATCH($D$7,IN_Admin2,0))="","",
IF(INDEX(Measure,MATCH(C13,PiN_Code,0))="Per",
INDEX(INDIRECT($C13),MATCH($D$7,IN_Admin2,0))/(INDEX(Population,MATCH($D$7,Pop_Admin2,0))/INDEX(PiN_Per,MATCH($C$12,PiN_Code,0))),
INDEX(INDIRECT($C13),MATCH($D$7,IN_Admin2,0))))</f>
        <v>4.8285852245292133</v>
      </c>
      <c r="G13" s="20">
        <f t="shared" ref="G13:G19" ca="1" si="4">IF($F13="","",INDEX(INDIRECT("P_"&amp;$C13),MATCH($D$7,C_Admin2,0)))</f>
        <v>39401.555555555555</v>
      </c>
      <c r="I13" s="11" t="s">
        <v>49</v>
      </c>
      <c r="J13" s="16" t="s">
        <v>78</v>
      </c>
      <c r="K13" s="16" t="str">
        <f>IF(INDEX(Data_Reliability,MATCH(I13,PiN_Code,0))="","",INDEX(Data_Reliability,MATCH(I13,PiN_Code,0)))</f>
        <v/>
      </c>
      <c r="L13" s="45">
        <f ca="1">IF(INDEX(INDIRECT($I13),MATCH($D$7,IN_Admin2,0))="","",
IF(INDEX(Measure,MATCH(I13,PiN_Code,0))="Per",
INDEX(INDIRECT($I13),MATCH($D$7,IN_Admin2,0))/(INDEX(Population,MATCH($D$7,Pop_Admin2,0))/INDEX(PiN_Per,MATCH($I$12,PiN_Code,0))),
INDEX(INDIRECT($I13),MATCH($D$7,IN_Admin2,0))))</f>
        <v>0.96</v>
      </c>
      <c r="M13" s="20">
        <f ca="1">IF($L13="","",INDEX(INDIRECT("P_"&amp;$I13),MATCH($D$7,C_Admin2,0)))</f>
        <v>0</v>
      </c>
      <c r="O13" s="11" t="s">
        <v>248</v>
      </c>
      <c r="P13" s="103" t="s">
        <v>249</v>
      </c>
      <c r="Q13" s="104"/>
      <c r="R13" s="16" t="str">
        <f>IF(INDEX(Data_Reliability,MATCH(O13,PiN_Code,0))="","",INDEX(Data_Reliability,MATCH(O13,PiN_Code,0)))</f>
        <v/>
      </c>
      <c r="S13" s="45">
        <f ca="1">IF(INDEX(INDIRECT($O13),MATCH($D$7,IN_Admin2,0))="","",
IF(INDEX(Measure,MATCH(O13,PiN_Code,0))="Per",
INDEX(INDIRECT($O13),MATCH($D$7,IN_Admin2,0))/(INDEX(Population,MATCH($D$7,Pop_Admin2,0))/INDEX(PiN_Per,MATCH($O$12,PiN_Code,0))),
INDEX(INDIRECT($O13),MATCH($D$7,IN_Admin2,0))))</f>
        <v>1134</v>
      </c>
      <c r="T13" s="20">
        <f ca="1">IF($S13="","",INDEX(INDIRECT("P_"&amp;$O13),MATCH($D$7,C_Admin2,0)))</f>
        <v>1134</v>
      </c>
    </row>
    <row r="14" spans="3:20" ht="51" customHeight="1" x14ac:dyDescent="0.5">
      <c r="C14" s="11" t="s">
        <v>181</v>
      </c>
      <c r="D14" s="16" t="str">
        <f xml:space="preserve"> "Number of community health workers Per "&amp;INDEX(PiN_Per,MATCH($C14,PiN_Code,0))&amp;" population"</f>
        <v>Number of community health workers Per 500 population</v>
      </c>
      <c r="E14" s="16" t="str">
        <f t="shared" si="0"/>
        <v/>
      </c>
      <c r="F14" s="45">
        <f t="shared" ca="1" si="3"/>
        <v>40.300115143186126</v>
      </c>
      <c r="G14" s="20">
        <f t="shared" ca="1" si="4"/>
        <v>0</v>
      </c>
      <c r="I14" s="11" t="s">
        <v>220</v>
      </c>
      <c r="J14" s="16" t="s">
        <v>104</v>
      </c>
      <c r="K14" s="16" t="str">
        <f>IF(INDEX(Data_Reliability,MATCH(I14,PiN_Code,0))="","",INDEX(Data_Reliability,MATCH(I14,PiN_Code,0)))</f>
        <v/>
      </c>
      <c r="L14" s="45">
        <f ca="1">IF(INDEX(INDIRECT($I14),MATCH($D$7,IN_Admin2,0))="","",
IF(INDEX(Measure,MATCH(I14,PiN_Code,0))="Per",
INDEX(INDIRECT($I14),MATCH($D$7,IN_Admin2,0))/(INDEX(Population,MATCH($D$7,Pop_Admin2,0))/INDEX(PiN_Per,MATCH($I$12,PiN_Code,0))),
INDEX(INDIRECT($I14),MATCH($D$7,IN_Admin2,0))))</f>
        <v>0.25</v>
      </c>
      <c r="M14" s="20">
        <f ca="1">IF($L14="","",INDEX(INDIRECT("P_"&amp;$I14),MATCH($D$7,C_Admin2,0)))</f>
        <v>34999.9</v>
      </c>
    </row>
    <row r="15" spans="3:20" ht="72" customHeight="1" x14ac:dyDescent="0.5">
      <c r="C15" s="11" t="s">
        <v>182</v>
      </c>
      <c r="D15" s="16" t="s">
        <v>124</v>
      </c>
      <c r="E15" s="16" t="str">
        <f t="shared" si="0"/>
        <v/>
      </c>
      <c r="F15" s="45">
        <f t="shared" ca="1" si="3"/>
        <v>0.68</v>
      </c>
      <c r="G15" s="20">
        <f t="shared" ca="1" si="4"/>
        <v>6461.5199999999995</v>
      </c>
    </row>
    <row r="16" spans="3:20" ht="35" customHeight="1" x14ac:dyDescent="0.5">
      <c r="C16" s="11" t="s">
        <v>190</v>
      </c>
      <c r="D16" s="16" t="str">
        <f>"Number of HF with Basic Emergency Obstetric Care Per "&amp;INDEX(PiN_Per,MATCH($C16,PiN_Code,0))&amp;" population"</f>
        <v>Number of HF with Basic Emergency Obstetric Care Per 500000 population</v>
      </c>
      <c r="E16" s="16" t="str">
        <f t="shared" si="0"/>
        <v/>
      </c>
      <c r="F16" s="45">
        <f t="shared" ca="1" si="3"/>
        <v>0.3714296326560933</v>
      </c>
      <c r="G16" s="20">
        <f t="shared" ca="1" si="4"/>
        <v>0</v>
      </c>
    </row>
    <row r="17" spans="3:11" ht="51" customHeight="1" x14ac:dyDescent="0.5">
      <c r="C17" s="11" t="s">
        <v>191</v>
      </c>
      <c r="D17" s="16" t="str">
        <f>"Number of HF with Comprehensive Emergency Obstetric Care Per "&amp;INDEX(PiN_Per,MATCH($C17,PiN_Code,0))&amp;" population"</f>
        <v>Number of HF with Comprehensive Emergency Obstetric Care Per 500000 population</v>
      </c>
      <c r="E17" s="16" t="str">
        <f t="shared" si="0"/>
        <v/>
      </c>
      <c r="F17" s="45">
        <f t="shared" ca="1" si="3"/>
        <v>0.18571481632804665</v>
      </c>
      <c r="G17" s="20">
        <f t="shared" ca="1" si="4"/>
        <v>0</v>
      </c>
    </row>
    <row r="18" spans="3:11" ht="35" customHeight="1" x14ac:dyDescent="0.5">
      <c r="C18" s="11" t="s">
        <v>192</v>
      </c>
      <c r="D18" s="16" t="str">
        <f xml:space="preserve"> "Number of skilled birth attendant personnel Per "&amp;INDEX(PiN_Per,MATCH($C18,PiN_Code,0))&amp;" population"</f>
        <v>Number of skilled birth attendant personnel Per 10000 population</v>
      </c>
      <c r="E18" s="16" t="str">
        <f t="shared" si="0"/>
        <v/>
      </c>
      <c r="F18" s="45">
        <f t="shared" ca="1" si="3"/>
        <v>86.91453404152584</v>
      </c>
      <c r="G18" s="20">
        <f t="shared" ca="1" si="4"/>
        <v>0</v>
      </c>
    </row>
    <row r="19" spans="3:11" ht="35" customHeight="1" x14ac:dyDescent="0.5">
      <c r="C19" s="11" t="s">
        <v>196</v>
      </c>
      <c r="D19" s="16" t="s">
        <v>167</v>
      </c>
      <c r="E19" s="16" t="str">
        <f t="shared" si="0"/>
        <v/>
      </c>
      <c r="F19" s="45">
        <f t="shared" ca="1" si="3"/>
        <v>0.56999999999999995</v>
      </c>
      <c r="G19" s="20">
        <f t="shared" ca="1" si="4"/>
        <v>12384.580000000005</v>
      </c>
    </row>
    <row r="20" spans="3:11" ht="35" customHeight="1" x14ac:dyDescent="0.5"/>
    <row r="21" spans="3:11" s="23" customFormat="1" x14ac:dyDescent="0.5">
      <c r="D21" s="24"/>
      <c r="E21" s="24"/>
    </row>
    <row r="24" spans="3:11" ht="44.65" x14ac:dyDescent="1.1000000000000001">
      <c r="C24" s="26" t="s">
        <v>30</v>
      </c>
      <c r="I24" s="27"/>
    </row>
    <row r="25" spans="3:11" ht="44.65" x14ac:dyDescent="1.1000000000000001">
      <c r="C25" s="26"/>
      <c r="E25" s="75" t="s">
        <v>74</v>
      </c>
      <c r="F25" s="75" t="s">
        <v>61</v>
      </c>
      <c r="G25" s="75" t="s">
        <v>165</v>
      </c>
      <c r="H25" s="72"/>
      <c r="I25" s="27"/>
    </row>
    <row r="26" spans="3:11" ht="44.65" x14ac:dyDescent="1.1000000000000001">
      <c r="C26" s="26"/>
      <c r="D26" s="74" t="s">
        <v>274</v>
      </c>
      <c r="E26" s="73">
        <v>0.25</v>
      </c>
      <c r="F26" s="73">
        <v>0.4</v>
      </c>
      <c r="G26" s="73">
        <v>0.35</v>
      </c>
      <c r="H26" s="72"/>
      <c r="I26" s="27"/>
    </row>
    <row r="27" spans="3:11" ht="18" x14ac:dyDescent="0.55000000000000004">
      <c r="D27" s="29"/>
      <c r="E27" s="29"/>
      <c r="F27" s="29"/>
      <c r="G27" s="29"/>
      <c r="H27" s="29"/>
      <c r="I27" s="29"/>
      <c r="J27" s="30" t="s">
        <v>270</v>
      </c>
      <c r="K27" s="31">
        <f ca="1">IF(AND(G35="",G36=""),0,AVERAGE(G35:G36))</f>
        <v>1</v>
      </c>
    </row>
    <row r="28" spans="3:11" ht="18" x14ac:dyDescent="0.55000000000000004">
      <c r="D28" s="30" t="s">
        <v>28</v>
      </c>
      <c r="E28" s="30">
        <f ca="1">ROUND(IF(AND(K27=0,K29=0),K28,IF(AND(K27=0,K28=0),K29,IF(AND(K28=0,K29=0),K27,SUM(K27*E26,K28*F26,K29*G26)))),2)</f>
        <v>2.84</v>
      </c>
      <c r="F28" s="29"/>
      <c r="G28" s="29"/>
      <c r="H28" s="29"/>
      <c r="I28" s="29"/>
      <c r="J28" s="30" t="s">
        <v>272</v>
      </c>
      <c r="K28" s="31">
        <f ca="1">AVERAGEIF(L35:L42,"No", N35:N42)</f>
        <v>3.4</v>
      </c>
    </row>
    <row r="29" spans="3:11" ht="18" x14ac:dyDescent="0.55000000000000004">
      <c r="D29" s="13" t="s">
        <v>29</v>
      </c>
      <c r="E29" s="13">
        <f ca="1">IF(K30&gt;E28,K30,E28)</f>
        <v>5</v>
      </c>
      <c r="F29" s="29"/>
      <c r="G29" s="29"/>
      <c r="H29" s="29"/>
      <c r="I29" s="29"/>
      <c r="J29" s="30" t="s">
        <v>271</v>
      </c>
      <c r="K29" s="31">
        <f ca="1">AVERAGEIF(S35:S41,"No", U35:U41)</f>
        <v>3.5</v>
      </c>
    </row>
    <row r="30" spans="3:11" ht="17.649999999999999" x14ac:dyDescent="0.5">
      <c r="J30" s="30" t="s">
        <v>25</v>
      </c>
      <c r="K30" s="32">
        <f ca="1">IFERROR(MAX(_xlfn.MAXIFS(N35:N41,L35:L41,"Yes"),_xlfn.MAXIFS(U35:U42,S35:S42,"Yes")),0)</f>
        <v>5</v>
      </c>
    </row>
    <row r="31" spans="3:11" ht="16.149999999999999" x14ac:dyDescent="0.5">
      <c r="J31" s="1"/>
      <c r="K31" s="28"/>
    </row>
    <row r="33" spans="3:21" x14ac:dyDescent="0.5">
      <c r="C33" s="99" t="s">
        <v>74</v>
      </c>
      <c r="D33" s="99"/>
      <c r="E33" s="99"/>
      <c r="F33" s="99"/>
      <c r="G33" s="99"/>
      <c r="I33" s="100" t="s">
        <v>61</v>
      </c>
      <c r="J33" s="101"/>
      <c r="K33" s="101"/>
      <c r="L33" s="101"/>
      <c r="M33" s="101"/>
      <c r="N33" s="102"/>
      <c r="P33" s="99" t="s">
        <v>165</v>
      </c>
      <c r="Q33" s="99"/>
      <c r="R33" s="99"/>
      <c r="S33" s="99"/>
      <c r="T33" s="99"/>
      <c r="U33" s="99"/>
    </row>
    <row r="34" spans="3:21" x14ac:dyDescent="0.5">
      <c r="C34" s="22" t="s">
        <v>10</v>
      </c>
      <c r="D34" s="22" t="s">
        <v>0</v>
      </c>
      <c r="E34" s="22" t="s">
        <v>24</v>
      </c>
      <c r="F34" s="22" t="s">
        <v>22</v>
      </c>
      <c r="G34" s="22" t="s">
        <v>13</v>
      </c>
      <c r="I34" s="47" t="s">
        <v>10</v>
      </c>
      <c r="J34" s="47" t="s">
        <v>0</v>
      </c>
      <c r="K34" s="47" t="s">
        <v>24</v>
      </c>
      <c r="L34" s="47" t="s">
        <v>26</v>
      </c>
      <c r="M34" s="47" t="s">
        <v>22</v>
      </c>
      <c r="N34" s="47" t="s">
        <v>13</v>
      </c>
      <c r="P34" s="22" t="s">
        <v>10</v>
      </c>
      <c r="Q34" s="22" t="s">
        <v>0</v>
      </c>
      <c r="R34" s="22" t="s">
        <v>24</v>
      </c>
      <c r="S34" s="22" t="s">
        <v>26</v>
      </c>
      <c r="T34" s="22" t="s">
        <v>22</v>
      </c>
      <c r="U34" s="22" t="s">
        <v>13</v>
      </c>
    </row>
    <row r="35" spans="3:21" ht="46.15" x14ac:dyDescent="0.5">
      <c r="C35" s="11" t="s">
        <v>257</v>
      </c>
      <c r="D35" s="16" t="str">
        <f>"Number of health facilities with basic Emergency Obstetric Care per "&amp;INDEX(PiN_Per,MATCH($C35,PiN_Code,0))&amp;" population"</f>
        <v>Number of health facilities with basic Emergency Obstetric Care per 500000 population</v>
      </c>
      <c r="E35" s="11">
        <v>5</v>
      </c>
      <c r="F35" s="45">
        <f ca="1">IF(INDEX(INDIRECT($C35),MATCH($D$7,IN_Admin2,0))="","",
INDEX(INDIRECT($C35),MATCH($D$7,IN_Admin2,0)))</f>
        <v>18.57</v>
      </c>
      <c r="G35" s="20">
        <f ca="1">IF($F35="","",INDEX(INDIRECT("S_"&amp;$C35),MATCH($D$7,C_Admin2,0)))</f>
        <v>1</v>
      </c>
      <c r="I35" s="11" t="s">
        <v>49</v>
      </c>
      <c r="J35" s="16" t="s">
        <v>78</v>
      </c>
      <c r="K35" s="11">
        <v>3</v>
      </c>
      <c r="L35" s="11" t="str">
        <f t="shared" ref="L35:L42" si="5">INDEX(Critical,MATCH(I35,PiN_Code,0))</f>
        <v>No</v>
      </c>
      <c r="M35" s="45">
        <f t="shared" ref="M35:M42" ca="1" si="6">IF(INDEX(INDIRECT($I35),MATCH($D$7,IN_Admin2,0))="","",
INDEX(INDIRECT($I35),MATCH($D$7,IN_Admin2,0)))</f>
        <v>0.96</v>
      </c>
      <c r="N35" s="20">
        <f t="shared" ref="N35:N42" ca="1" si="7">IF($M35="","",INDEX(INDIRECT("S_"&amp;$I35),MATCH($D$7,C_Admin2,0)))</f>
        <v>1</v>
      </c>
      <c r="P35" s="11" t="s">
        <v>8</v>
      </c>
      <c r="Q35" s="16" t="s">
        <v>245</v>
      </c>
      <c r="R35" s="11">
        <v>3</v>
      </c>
      <c r="S35" s="11" t="str">
        <f>INDEX(Critical,MATCH(P35,PiN_Code,0))</f>
        <v>No</v>
      </c>
      <c r="T35" s="45">
        <f ca="1">IF(INDEX(INDIRECT($P35),MATCH($D$7,IN_Admin2,0))="","",
INDEX(INDIRECT($P35),MATCH($D$7,IN_Admin2,0)))</f>
        <v>0.36</v>
      </c>
      <c r="U35" s="20">
        <f ca="1">IF($T35="","",INDEX(INDIRECT("S_"&amp;$P35),MATCH($D$7,C_Admin2,0)))</f>
        <v>4</v>
      </c>
    </row>
    <row r="36" spans="3:21" ht="30.75" x14ac:dyDescent="0.5">
      <c r="C36" s="11" t="s">
        <v>192</v>
      </c>
      <c r="D36" s="16" t="str">
        <f>"Number of skilled birth attendant personnel "&amp;INDEX(PiN_Per,MATCH($C36,PiN_Code,0))&amp;" population"</f>
        <v>Number of skilled birth attendant personnel 10000 population</v>
      </c>
      <c r="E36" s="11">
        <v>4</v>
      </c>
      <c r="F36" s="45">
        <f ca="1">IF(INDEX(INDIRECT($C36),MATCH($D$7,IN_Admin2,0))="","",
INDEX(INDIRECT($C36),MATCH($D$7,IN_Admin2,0)))</f>
        <v>468</v>
      </c>
      <c r="G36" s="20">
        <f ca="1">IF($F36="","",INDEX(INDIRECT("S_"&amp;$C36),MATCH($D$7,C_Admin2,0)))</f>
        <v>1</v>
      </c>
      <c r="I36" s="11" t="s">
        <v>174</v>
      </c>
      <c r="J36" s="16" t="s">
        <v>92</v>
      </c>
      <c r="K36" s="11">
        <v>4</v>
      </c>
      <c r="L36" s="11" t="str">
        <f t="shared" si="5"/>
        <v>No</v>
      </c>
      <c r="M36" s="45">
        <f t="shared" ca="1" si="6"/>
        <v>27</v>
      </c>
      <c r="N36" s="20">
        <f t="shared" ca="1" si="7"/>
        <v>5</v>
      </c>
      <c r="P36" s="11" t="s">
        <v>201</v>
      </c>
      <c r="Q36" s="16" t="s">
        <v>199</v>
      </c>
      <c r="R36" s="11">
        <v>4</v>
      </c>
      <c r="S36" s="11" t="str">
        <f>INDEX(Critical,MATCH(P36,PiN_Code,0))</f>
        <v>Yes</v>
      </c>
      <c r="T36" s="45">
        <f ca="1">IF(INDEX(INDIRECT($P36),MATCH($D$7,IN_Admin2,0))="","",
INDEX(INDIRECT($P36),MATCH($D$7,IN_Admin2,0)))</f>
        <v>5</v>
      </c>
      <c r="U36" s="20">
        <f ca="1">IF($T36="","",INDEX(INDIRECT("S_"&amp;$P36),MATCH($D$7,C_Admin2,0)))</f>
        <v>5</v>
      </c>
    </row>
    <row r="37" spans="3:21" ht="46.15" x14ac:dyDescent="0.5">
      <c r="I37" s="11" t="s">
        <v>217</v>
      </c>
      <c r="J37" s="16" t="s">
        <v>104</v>
      </c>
      <c r="K37" s="11">
        <v>5</v>
      </c>
      <c r="L37" s="11" t="str">
        <f t="shared" si="5"/>
        <v>No</v>
      </c>
      <c r="M37" s="45">
        <f t="shared" ca="1" si="6"/>
        <v>0.67</v>
      </c>
      <c r="N37" s="20">
        <f t="shared" ca="1" si="7"/>
        <v>5</v>
      </c>
      <c r="P37" s="11" t="s">
        <v>247</v>
      </c>
      <c r="Q37" s="16" t="s">
        <v>246</v>
      </c>
      <c r="R37" s="11">
        <v>5</v>
      </c>
      <c r="S37" s="11" t="str">
        <f>INDEX(Critical,MATCH(P37,PiN_Code,0))</f>
        <v>No</v>
      </c>
      <c r="T37" s="45">
        <f ca="1">IF(INDEX(INDIRECT($P37),MATCH($D$7,IN_Admin2,0))="","",
INDEX(INDIRECT($P37),MATCH($D$7,IN_Admin2,0)))</f>
        <v>0.11815176614790328</v>
      </c>
      <c r="U37" s="20">
        <f ca="1">IF($T37="","",INDEX(INDIRECT("S_"&amp;$P37),MATCH($D$7,C_Admin2,0)))</f>
        <v>3</v>
      </c>
    </row>
    <row r="38" spans="3:21" ht="46.15" x14ac:dyDescent="0.5">
      <c r="I38" s="11" t="s">
        <v>218</v>
      </c>
      <c r="J38" s="16" t="s">
        <v>104</v>
      </c>
      <c r="K38" s="11">
        <v>5</v>
      </c>
      <c r="L38" s="11" t="str">
        <f t="shared" si="5"/>
        <v>No</v>
      </c>
      <c r="M38" s="45">
        <f t="shared" ca="1" si="6"/>
        <v>0.91</v>
      </c>
      <c r="N38" s="20">
        <f t="shared" ca="1" si="7"/>
        <v>1</v>
      </c>
    </row>
    <row r="39" spans="3:21" ht="46.15" x14ac:dyDescent="0.5">
      <c r="I39" s="11" t="s">
        <v>220</v>
      </c>
      <c r="J39" s="16" t="s">
        <v>104</v>
      </c>
      <c r="K39" s="11">
        <v>5</v>
      </c>
      <c r="L39" s="11" t="str">
        <f t="shared" si="5"/>
        <v>No</v>
      </c>
      <c r="M39" s="45">
        <f t="shared" ca="1" si="6"/>
        <v>0.25</v>
      </c>
      <c r="N39" s="20">
        <f t="shared" ca="1" si="7"/>
        <v>5</v>
      </c>
    </row>
    <row r="40" spans="3:21" ht="30.75" x14ac:dyDescent="0.5">
      <c r="I40" s="11" t="s">
        <v>380</v>
      </c>
      <c r="J40" s="16" t="s">
        <v>377</v>
      </c>
      <c r="K40" s="11">
        <v>5</v>
      </c>
      <c r="L40" s="11" t="str">
        <f t="shared" si="5"/>
        <v>No</v>
      </c>
      <c r="M40" s="45" t="str">
        <f t="shared" ca="1" si="6"/>
        <v/>
      </c>
      <c r="N40" s="20" t="str">
        <f t="shared" ca="1" si="7"/>
        <v/>
      </c>
    </row>
    <row r="41" spans="3:21" ht="30.75" x14ac:dyDescent="0.5">
      <c r="I41" s="11" t="s">
        <v>381</v>
      </c>
      <c r="J41" s="16" t="s">
        <v>378</v>
      </c>
      <c r="K41" s="11">
        <v>5</v>
      </c>
      <c r="L41" s="11" t="str">
        <f t="shared" si="5"/>
        <v>No</v>
      </c>
      <c r="M41" s="45" t="str">
        <f t="shared" ca="1" si="6"/>
        <v/>
      </c>
      <c r="N41" s="20" t="str">
        <f t="shared" ca="1" si="7"/>
        <v/>
      </c>
    </row>
    <row r="42" spans="3:21" ht="30.75" x14ac:dyDescent="0.5">
      <c r="I42" s="11" t="s">
        <v>382</v>
      </c>
      <c r="J42" s="16" t="s">
        <v>379</v>
      </c>
      <c r="K42" s="11">
        <v>5</v>
      </c>
      <c r="L42" s="11" t="str">
        <f t="shared" si="5"/>
        <v>No</v>
      </c>
      <c r="M42" s="45" t="str">
        <f t="shared" ca="1" si="6"/>
        <v/>
      </c>
      <c r="N42" s="20" t="str">
        <f t="shared" ca="1" si="7"/>
        <v/>
      </c>
    </row>
    <row r="47" spans="3:21" x14ac:dyDescent="0.5">
      <c r="D47" s="33"/>
    </row>
  </sheetData>
  <mergeCells count="9">
    <mergeCell ref="O10:T10"/>
    <mergeCell ref="C10:G10"/>
    <mergeCell ref="I10:M10"/>
    <mergeCell ref="C33:G33"/>
    <mergeCell ref="P33:U33"/>
    <mergeCell ref="I33:N33"/>
    <mergeCell ref="P11:Q11"/>
    <mergeCell ref="P12:Q12"/>
    <mergeCell ref="P13:Q13"/>
  </mergeCells>
  <phoneticPr fontId="2" type="noConversion"/>
  <dataValidations count="5">
    <dataValidation type="list" allowBlank="1" showInputMessage="1" showErrorMessage="1" sqref="E5:E6" xr:uid="{B2B025DB-52C4-5A47-9F46-6E16F1B5D713}">
      <formula1>Admin_1</formula1>
    </dataValidation>
    <dataValidation type="list" allowBlank="1" showInputMessage="1" showErrorMessage="1" sqref="E7" xr:uid="{A53A40A4-FAD6-C14B-814A-3539750D637C}">
      <formula1>Admin_2</formula1>
    </dataValidation>
    <dataValidation type="list" allowBlank="1" showInputMessage="1" showErrorMessage="1" sqref="D6" xr:uid="{9E6B2289-A0F2-4949-A8BB-9CA172000934}">
      <formula1>Admin1_DD</formula1>
    </dataValidation>
    <dataValidation type="list" allowBlank="1" showInputMessage="1" showErrorMessage="1" sqref="D7" xr:uid="{EE34532C-E8E3-5B42-BA72-197C30060225}">
      <formula1>INDIRECT($D$5)</formula1>
    </dataValidation>
    <dataValidation type="list" allowBlank="1" showInputMessage="1" showErrorMessage="1" sqref="D5" xr:uid="{60E413CE-188F-4FEC-A106-84A2E9BBD440}">
      <formula1>First_Admin</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E473F-28AC-5047-BAA6-37CAEC0908FE}">
  <sheetPr codeName="Sheet4">
    <tabColor rgb="FFF8D670"/>
  </sheetPr>
  <dimension ref="B2:O60"/>
  <sheetViews>
    <sheetView showGridLines="0" zoomScale="110" zoomScaleNormal="110" workbookViewId="0">
      <pane xSplit="3" ySplit="4" topLeftCell="D5" activePane="bottomRight" state="frozen"/>
      <selection pane="topRight" activeCell="D1" sqref="D1"/>
      <selection pane="bottomLeft" activeCell="A5" sqref="A5"/>
      <selection pane="bottomRight" activeCell="J24" sqref="J24"/>
    </sheetView>
  </sheetViews>
  <sheetFormatPr defaultColWidth="10.8125" defaultRowHeight="15.4" x14ac:dyDescent="0.4"/>
  <cols>
    <col min="1" max="1" width="5.8125" style="1" customWidth="1"/>
    <col min="2" max="2" width="16.8125" style="1" customWidth="1"/>
    <col min="3" max="3" width="20" style="1" customWidth="1"/>
    <col min="4" max="6" width="16.8125" style="1" customWidth="1"/>
    <col min="7" max="10" width="17.1875" style="1" customWidth="1"/>
    <col min="11" max="11" width="27.5" style="1" customWidth="1"/>
    <col min="12" max="16384" width="10.8125" style="1"/>
  </cols>
  <sheetData>
    <row r="2" spans="2:15" ht="16.149999999999999" x14ac:dyDescent="0.5">
      <c r="M2"/>
      <c r="N2"/>
      <c r="O2"/>
    </row>
    <row r="3" spans="2:15" ht="43.9" x14ac:dyDescent="0.5">
      <c r="B3" s="1" t="s">
        <v>349</v>
      </c>
      <c r="D3" s="9" t="s">
        <v>16</v>
      </c>
      <c r="E3" s="9" t="s">
        <v>275</v>
      </c>
      <c r="F3" s="9" t="s">
        <v>276</v>
      </c>
      <c r="G3" s="9" t="s">
        <v>277</v>
      </c>
      <c r="H3" s="9" t="s">
        <v>28</v>
      </c>
      <c r="I3" s="9" t="s">
        <v>14</v>
      </c>
      <c r="J3" s="9" t="s">
        <v>37</v>
      </c>
      <c r="K3" s="9" t="s">
        <v>23</v>
      </c>
      <c r="M3"/>
      <c r="N3"/>
      <c r="O3"/>
    </row>
    <row r="4" spans="2:15" ht="16.149999999999999" x14ac:dyDescent="0.5">
      <c r="B4" s="42" t="s">
        <v>47</v>
      </c>
      <c r="C4" s="42" t="s">
        <v>46</v>
      </c>
      <c r="D4" s="43" t="s">
        <v>15</v>
      </c>
      <c r="E4" s="43" t="s">
        <v>278</v>
      </c>
      <c r="F4" s="43" t="s">
        <v>279</v>
      </c>
      <c r="G4" s="43" t="s">
        <v>19</v>
      </c>
      <c r="H4" s="43" t="s">
        <v>36</v>
      </c>
      <c r="I4" s="43" t="s">
        <v>12</v>
      </c>
      <c r="J4" s="43" t="s">
        <v>13</v>
      </c>
      <c r="K4" s="43"/>
      <c r="M4"/>
      <c r="N4"/>
      <c r="O4"/>
    </row>
    <row r="5" spans="2:15" x14ac:dyDescent="0.4">
      <c r="B5" s="4" t="str">
        <f>Population_Input!A5</f>
        <v>Arnor</v>
      </c>
      <c r="C5" s="4" t="str">
        <f>Population_Input!B5</f>
        <v>Arthedain</v>
      </c>
      <c r="D5" s="93">
        <f t="shared" ref="D5:D35" si="0">INDEX(Population,MATCH(C5,Admin2,0))</f>
        <v>2533424</v>
      </c>
      <c r="E5" s="6">
        <f t="shared" ref="E5:E36" ca="1" si="1">MAX(IF(INDEX(P_HR_01,MATCH($C5,IN_Admin2,0))="",0,INDEX(P_HR_01,MATCH($C5,IN_Admin2,0))),
IF(INDEX(P_HR_06,MATCH($C5,IN_Admin2,0))="",0,INDEX(P_HR_06,MATCH($C5,IN_Admin2,0))),
IF(INDEX(P_HR_07,MATCH($C5,IN_Admin2,0))="",0,INDEX(P_HR_07,MATCH($C5,IN_Admin2,0))),
IF(INDEX(P_HR_08,MATCH($C5,IN_Admin2,0))="",0,INDEX(P_HR_08,MATCH($C5,IN_Admin2,0))),
IF(INDEX(P_HR_12,MATCH($C5,IN_Admin2,0))="",0,INDEX(P_HR_12,MATCH($C5,IN_Admin2,0))),
IF(INDEX(P_HR_13,MATCH($C5,IN_Admin2,0))="",0,INDEX(P_HR_13,MATCH($C5,IN_Admin2,0))),
IF(INDEX(P_HR_14,MATCH($C5,IN_Admin2,0))="",0,INDEX(P_HR_14,MATCH($C5,IN_Admin2,0))),
IF(INDEX(P_HR_18,MATCH($C5,IN_Admin2,0))="",0,INDEX(P_HR_18,MATCH($C5,IN_Admin2,0))))</f>
        <v>2527868.4444444445</v>
      </c>
      <c r="F5" s="6" cm="1">
        <f t="array" aca="1" ref="F5" ca="1">MAX(INDEX(P_HS_01,MATCH($C5,IN_Admin2,0)),
IF(INDEX(P_HS_02,MATCH($C5,IN_Admin2,0))="",0,INDEX(P_HS_02,MATCH($C5,IN_Admin2,0))),
IF(INDEX(P_HS_06a,MATCH($C5,IN_Admin2,0))="",0,INDEX(P_HS_06a,MATCH($C5,IN_Admin2,0))),
IF(INDEX(P_HS_06b,MATCH($C5,IN_Admin2,0))="",0,INDEX(P_HS_06b,MATCH($C5,IN_Admin2,0))),
IF(INDEX(P_HS_06c,MATCH($C5,IN_Admin2,0))="",0,INDEX(P_HS_06c,MATCH($C5,IN_Admin2,0))))</f>
        <v>785361.43999999983</v>
      </c>
      <c r="G5" s="6">
        <f t="shared" ref="G5:G60" ca="1" si="2">MAX(INDEX(P_CF_03a,MATCH($C5,IN_Admin2,0)),INDEX(P_CF_04a,MATCH($C5,IN_Admin2,0)))</f>
        <v>330000</v>
      </c>
      <c r="H5" s="6">
        <f ca="1">IF(SUM(AVERAGE(Calculator!W6:Z6)*ScoreCard!$E$26,
AVERAGE(Calculator!AB6:AI6)*ScoreCard!$F$26,
AVERAGE(Calculator!AK6:AL6)*ScoreCard!$G$26)
&gt;
MAX(Calculator!AN37),
SUM(AVERAGE(Calculator!W6:Z6)*ScoreCard!$E$26,
AVERAGE(Calculator!AB6:AI6)*ScoreCard!$F$26,
AVERAGE(Calculator!AK6:AL6)*ScoreCard!$G$26),
MAX(Calculator!AN37))</f>
        <v>3.4050000000000002</v>
      </c>
      <c r="I5" s="5"/>
      <c r="J5" s="5"/>
      <c r="K5" s="5"/>
    </row>
    <row r="6" spans="2:15" x14ac:dyDescent="0.4">
      <c r="B6" s="4" t="str">
        <f>Population_Input!A6</f>
        <v>Arnor</v>
      </c>
      <c r="C6" s="4" t="str">
        <f>Population_Input!B6</f>
        <v>Cardolan</v>
      </c>
      <c r="D6" s="93">
        <f t="shared" si="0"/>
        <v>20287</v>
      </c>
      <c r="E6" s="6">
        <f t="shared" ca="1" si="1"/>
        <v>10549.24</v>
      </c>
      <c r="F6" s="6" cm="1">
        <f t="array" aca="1" ref="F6" ca="1">MAX(INDEX(P_HS_01,MATCH($C6,IN_Admin2,0)),
IF(INDEX(P_HS_02,MATCH($C6,IN_Admin2,0))="",0,INDEX(P_HS_02,MATCH($C6,IN_Admin2,0))),
IF(INDEX(P_HS_06a,MATCH($C6,IN_Admin2,0))="",0,INDEX(P_HS_06a,MATCH($C6,IN_Admin2,0))),
IF(INDEX(P_HS_06b,MATCH($C6,IN_Admin2,0))="",0,INDEX(P_HS_06b,MATCH($C6,IN_Admin2,0))),
IF(INDEX(P_HS_06c,MATCH($C6,IN_Admin2,0))="",0,INDEX(P_HS_06c,MATCH($C6,IN_Admin2,0))))</f>
        <v>12983.679999999998</v>
      </c>
      <c r="G6" s="6">
        <f t="shared" ca="1" si="2"/>
        <v>11091</v>
      </c>
      <c r="H6" s="6">
        <f ca="1">IF(SUM(AVERAGE(Calculator!W7:Z7)*ScoreCard!$E$26,
AVERAGE(Calculator!AB7:AI7)*ScoreCard!$F$26,
AVERAGE(Calculator!AK7:AL7)*ScoreCard!$G$26)
&gt;
MAX(Calculator!AN38),
SUM(AVERAGE(Calculator!W7:Z7)*ScoreCard!$E$26,
AVERAGE(Calculator!AB7:AI7)*ScoreCard!$F$26,
AVERAGE(Calculator!AK7:AL7)*ScoreCard!$G$26),
MAX(Calculator!AN38))</f>
        <v>5</v>
      </c>
      <c r="I6" s="5"/>
      <c r="J6" s="5"/>
      <c r="K6" s="5"/>
    </row>
    <row r="7" spans="2:15" x14ac:dyDescent="0.4">
      <c r="B7" s="4" t="str">
        <f>Population_Input!A7</f>
        <v>Arnor</v>
      </c>
      <c r="C7" s="4" t="str">
        <f>Population_Input!B7</f>
        <v>Rhudaur</v>
      </c>
      <c r="D7" s="93">
        <f t="shared" si="0"/>
        <v>2735</v>
      </c>
      <c r="E7" s="6">
        <f t="shared" ca="1" si="1"/>
        <v>2735</v>
      </c>
      <c r="F7" s="6" cm="1">
        <f t="array" aca="1" ref="F7" ca="1">MAX(INDEX(P_HS_01,MATCH($C7,IN_Admin2,0)),
IF(INDEX(P_HS_02,MATCH($C7,IN_Admin2,0))="",0,INDEX(P_HS_02,MATCH($C7,IN_Admin2,0))),
IF(INDEX(P_HS_06a,MATCH($C7,IN_Admin2,0))="",0,INDEX(P_HS_06a,MATCH($C7,IN_Admin2,0))),
IF(INDEX(P_HS_06b,MATCH($C7,IN_Admin2,0))="",0,INDEX(P_HS_06b,MATCH($C7,IN_Admin2,0))),
IF(INDEX(P_HS_06c,MATCH($C7,IN_Admin2,0))="",0,INDEX(P_HS_06c,MATCH($C7,IN_Admin2,0))))</f>
        <v>1558.9500000000003</v>
      </c>
      <c r="G7" s="6">
        <f t="shared" ca="1" si="2"/>
        <v>806</v>
      </c>
      <c r="H7" s="6">
        <f ca="1">IF(SUM(AVERAGE(Calculator!W8:Z8)*ScoreCard!$E$26,
AVERAGE(Calculator!AB8:AI8)*ScoreCard!$F$26,
AVERAGE(Calculator!AK8:AL8)*ScoreCard!$G$26)
&gt;
MAX(Calculator!AN39),
SUM(AVERAGE(Calculator!W8:Z8)*ScoreCard!$E$26,
AVERAGE(Calculator!AB8:AI8)*ScoreCard!$F$26,
AVERAGE(Calculator!AK8:AL8)*ScoreCard!$G$26),
MAX(Calculator!AN39))</f>
        <v>3.0975000000000001</v>
      </c>
      <c r="I7" s="5"/>
      <c r="J7" s="5"/>
      <c r="K7" s="5"/>
    </row>
    <row r="8" spans="2:15" x14ac:dyDescent="0.4">
      <c r="B8" s="4" t="str">
        <f>Population_Input!A8</f>
        <v>Beleriand</v>
      </c>
      <c r="C8" s="4" t="str">
        <f>Population_Input!B8</f>
        <v>East Beleriand</v>
      </c>
      <c r="D8" s="93">
        <f t="shared" si="0"/>
        <v>4698</v>
      </c>
      <c r="E8" s="6">
        <f t="shared" ca="1" si="1"/>
        <v>4698</v>
      </c>
      <c r="F8" s="6" cm="1">
        <f t="array" aca="1" ref="F8" ca="1">MAX(INDEX(P_HS_01,MATCH($C8,IN_Admin2,0)),
IF(INDEX(P_HS_02,MATCH($C8,IN_Admin2,0))="",0,INDEX(P_HS_02,MATCH($C8,IN_Admin2,0))),
IF(INDEX(P_HS_06a,MATCH($C8,IN_Admin2,0))="",0,INDEX(P_HS_06a,MATCH($C8,IN_Admin2,0))),
IF(INDEX(P_HS_06b,MATCH($C8,IN_Admin2,0))="",0,INDEX(P_HS_06b,MATCH($C8,IN_Admin2,0))),
IF(INDEX(P_HS_06c,MATCH($C8,IN_Admin2,0))="",0,INDEX(P_HS_06c,MATCH($C8,IN_Admin2,0))))</f>
        <v>2348.9999999999995</v>
      </c>
      <c r="G8" s="6">
        <f t="shared" ca="1" si="2"/>
        <v>3305</v>
      </c>
      <c r="H8" s="6">
        <f ca="1">IF(SUM(AVERAGE(Calculator!W9:Z9)*ScoreCard!$E$26,
AVERAGE(Calculator!AB9:AI9)*ScoreCard!$F$26,
AVERAGE(Calculator!AK9:AL9)*ScoreCard!$G$26)
&gt;
MAX(Calculator!AN40),
SUM(AVERAGE(Calculator!W9:Z9)*ScoreCard!$E$26,
AVERAGE(Calculator!AB9:AI9)*ScoreCard!$F$26,
AVERAGE(Calculator!AK9:AL9)*ScoreCard!$G$26),
MAX(Calculator!AN40))</f>
        <v>3</v>
      </c>
      <c r="I8" s="5"/>
      <c r="J8" s="5"/>
      <c r="K8" s="5"/>
    </row>
    <row r="9" spans="2:15" x14ac:dyDescent="0.4">
      <c r="B9" s="4" t="str">
        <f>Population_Input!A9</f>
        <v>Beleriand</v>
      </c>
      <c r="C9" s="4" t="str">
        <f>Population_Input!B9</f>
        <v>West Beleriand</v>
      </c>
      <c r="D9" s="93">
        <f t="shared" si="0"/>
        <v>31283</v>
      </c>
      <c r="E9" s="6">
        <f t="shared" ca="1" si="1"/>
        <v>14616.333333333332</v>
      </c>
      <c r="F9" s="6" cm="1">
        <f t="array" aca="1" ref="F9" ca="1">MAX(INDEX(P_HS_01,MATCH($C9,IN_Admin2,0)),
IF(INDEX(P_HS_02,MATCH($C9,IN_Admin2,0))="",0,INDEX(P_HS_02,MATCH($C9,IN_Admin2,0))),
IF(INDEX(P_HS_06a,MATCH($C9,IN_Admin2,0))="",0,INDEX(P_HS_06a,MATCH($C9,IN_Admin2,0))),
IF(INDEX(P_HS_06b,MATCH($C9,IN_Admin2,0))="",0,INDEX(P_HS_06b,MATCH($C9,IN_Admin2,0))),
IF(INDEX(P_HS_06c,MATCH($C9,IN_Admin2,0))="",0,INDEX(P_HS_06c,MATCH($C9,IN_Admin2,0))))</f>
        <v>22836.59</v>
      </c>
      <c r="G9" s="6">
        <f t="shared" ca="1" si="2"/>
        <v>21043</v>
      </c>
      <c r="H9" s="6">
        <f ca="1">IF(SUM(AVERAGE(Calculator!W10:Z10)*ScoreCard!$E$26,
AVERAGE(Calculator!AB10:AI10)*ScoreCard!$F$26,
AVERAGE(Calculator!AK10:AL10)*ScoreCard!$G$26)
&gt;
MAX(Calculator!AN41),
SUM(AVERAGE(Calculator!W10:Z10)*ScoreCard!$E$26,
AVERAGE(Calculator!AB10:AI10)*ScoreCard!$F$26,
AVERAGE(Calculator!AK10:AL10)*ScoreCard!$G$26),
MAX(Calculator!AN41))</f>
        <v>5</v>
      </c>
      <c r="I9" s="5"/>
      <c r="J9" s="5"/>
      <c r="K9" s="5"/>
    </row>
    <row r="10" spans="2:15" x14ac:dyDescent="0.4">
      <c r="B10" s="4" t="str">
        <f>Population_Input!A10</f>
        <v>Endedwaith</v>
      </c>
      <c r="C10" s="4" t="str">
        <f>Population_Input!B10</f>
        <v>Dunland</v>
      </c>
      <c r="D10" s="93">
        <f t="shared" si="0"/>
        <v>27071</v>
      </c>
      <c r="E10" s="6">
        <f t="shared" ca="1" si="1"/>
        <v>27071</v>
      </c>
      <c r="F10" s="6" cm="1">
        <f t="array" aca="1" ref="F10" ca="1">MAX(INDEX(P_HS_01,MATCH($C10,IN_Admin2,0)),
IF(INDEX(P_HS_02,MATCH($C10,IN_Admin2,0))="",0,INDEX(P_HS_02,MATCH($C10,IN_Admin2,0))),
IF(INDEX(P_HS_06a,MATCH($C10,IN_Admin2,0))="",0,INDEX(P_HS_06a,MATCH($C10,IN_Admin2,0))),
IF(INDEX(P_HS_06b,MATCH($C10,IN_Admin2,0))="",0,INDEX(P_HS_06b,MATCH($C10,IN_Admin2,0))),
IF(INDEX(P_HS_06c,MATCH($C10,IN_Admin2,0))="",0,INDEX(P_HS_06c,MATCH($C10,IN_Admin2,0))))</f>
        <v>22198.219999999998</v>
      </c>
      <c r="G10" s="6">
        <f t="shared" ca="1" si="2"/>
        <v>8486</v>
      </c>
      <c r="H10" s="6">
        <f ca="1">IF(SUM(AVERAGE(Calculator!W11:Z11)*ScoreCard!$E$26,
AVERAGE(Calculator!AB11:AI11)*ScoreCard!$F$26,
AVERAGE(Calculator!AK11:AL11)*ScoreCard!$G$26)
&gt;
MAX(Calculator!AN42),
SUM(AVERAGE(Calculator!W11:Z11)*ScoreCard!$E$26,
AVERAGE(Calculator!AB11:AI11)*ScoreCard!$F$26,
AVERAGE(Calculator!AK11:AL11)*ScoreCard!$G$26),
MAX(Calculator!AN42))</f>
        <v>3.0674999999999999</v>
      </c>
      <c r="I10" s="5"/>
      <c r="J10" s="5"/>
      <c r="K10" s="5"/>
    </row>
    <row r="11" spans="2:15" x14ac:dyDescent="0.4">
      <c r="B11" s="4" t="str">
        <f>Population_Input!A11</f>
        <v>Eriador</v>
      </c>
      <c r="C11" s="4" t="str">
        <f>Population_Input!B11</f>
        <v>Angmar</v>
      </c>
      <c r="D11" s="93">
        <f t="shared" si="0"/>
        <v>44199</v>
      </c>
      <c r="E11" s="6">
        <f t="shared" ca="1" si="1"/>
        <v>31976.777777777777</v>
      </c>
      <c r="F11" s="6" cm="1">
        <f t="array" aca="1" ref="F11" ca="1">MAX(INDEX(P_HS_01,MATCH($C11,IN_Admin2,0)),
IF(INDEX(P_HS_02,MATCH($C11,IN_Admin2,0))="",0,INDEX(P_HS_02,MATCH($C11,IN_Admin2,0))),
IF(INDEX(P_HS_06a,MATCH($C11,IN_Admin2,0))="",0,INDEX(P_HS_06a,MATCH($C11,IN_Admin2,0))),
IF(INDEX(P_HS_06b,MATCH($C11,IN_Admin2,0))="",0,INDEX(P_HS_06b,MATCH($C11,IN_Admin2,0))),
IF(INDEX(P_HS_06c,MATCH($C11,IN_Admin2,0))="",0,INDEX(P_HS_06c,MATCH($C11,IN_Admin2,0))))</f>
        <v>32707.26</v>
      </c>
      <c r="G11" s="6">
        <f t="shared" ca="1" si="2"/>
        <v>7021</v>
      </c>
      <c r="H11" s="6">
        <f ca="1">IF(SUM(AVERAGE(Calculator!W12:Z12)*ScoreCard!$E$26,
AVERAGE(Calculator!AB12:AI12)*ScoreCard!$F$26,
AVERAGE(Calculator!AK12:AL12)*ScoreCard!$G$26)
&gt;
MAX(Calculator!AN43),
SUM(AVERAGE(Calculator!W12:Z12)*ScoreCard!$E$26,
AVERAGE(Calculator!AB12:AI12)*ScoreCard!$F$26,
AVERAGE(Calculator!AK12:AL12)*ScoreCard!$G$26),
MAX(Calculator!AN43))</f>
        <v>3.1425000000000001</v>
      </c>
      <c r="I11" s="5"/>
      <c r="J11" s="5"/>
      <c r="K11" s="5"/>
    </row>
    <row r="12" spans="2:15" x14ac:dyDescent="0.4">
      <c r="B12" s="4" t="str">
        <f>Population_Input!A12</f>
        <v>Eriador</v>
      </c>
      <c r="C12" s="4" t="str">
        <f>Population_Input!B12</f>
        <v>Arnor</v>
      </c>
      <c r="D12" s="93">
        <f t="shared" si="0"/>
        <v>5841</v>
      </c>
      <c r="E12" s="6">
        <f t="shared" ca="1" si="1"/>
        <v>4322.34</v>
      </c>
      <c r="F12" s="6" cm="1">
        <f t="array" aca="1" ref="F12" ca="1">MAX(INDEX(P_HS_01,MATCH($C12,IN_Admin2,0)),
IF(INDEX(P_HS_02,MATCH($C12,IN_Admin2,0))="",0,INDEX(P_HS_02,MATCH($C12,IN_Admin2,0))),
IF(INDEX(P_HS_06a,MATCH($C12,IN_Admin2,0))="",0,INDEX(P_HS_06a,MATCH($C12,IN_Admin2,0))),
IF(INDEX(P_HS_06b,MATCH($C12,IN_Admin2,0))="",0,INDEX(P_HS_06b,MATCH($C12,IN_Admin2,0))),
IF(INDEX(P_HS_06c,MATCH($C12,IN_Admin2,0))="",0,INDEX(P_HS_06c,MATCH($C12,IN_Admin2,0))))</f>
        <v>5198.49</v>
      </c>
      <c r="G12" s="6">
        <f t="shared" ca="1" si="2"/>
        <v>1777</v>
      </c>
      <c r="H12" s="6">
        <f ca="1">IF(SUM(AVERAGE(Calculator!W13:Z13)*ScoreCard!$E$26,
AVERAGE(Calculator!AB13:AI13)*ScoreCard!$F$26,
AVERAGE(Calculator!AK13:AL13)*ScoreCard!$G$26)
&gt;
MAX(Calculator!AN44),
SUM(AVERAGE(Calculator!W13:Z13)*ScoreCard!$E$26,
AVERAGE(Calculator!AB13:AI13)*ScoreCard!$F$26,
AVERAGE(Calculator!AK13:AL13)*ScoreCard!$G$26),
MAX(Calculator!AN44))</f>
        <v>4</v>
      </c>
      <c r="I12" s="5"/>
      <c r="J12" s="5"/>
      <c r="K12" s="5"/>
    </row>
    <row r="13" spans="2:15" x14ac:dyDescent="0.4">
      <c r="B13" s="4" t="str">
        <f>Population_Input!A13</f>
        <v>Eriador</v>
      </c>
      <c r="C13" s="4" t="str">
        <f>Population_Input!B13</f>
        <v>Arthedain</v>
      </c>
      <c r="D13" s="93">
        <f>INDEX(Population,MATCH(C13,Admin2,0))</f>
        <v>2533424</v>
      </c>
      <c r="E13" s="6">
        <f t="shared" ca="1" si="1"/>
        <v>2527868.4444444445</v>
      </c>
      <c r="F13" s="6" cm="1">
        <f t="array" aca="1" ref="F13" ca="1">MAX(INDEX(P_HS_01,MATCH($C13,IN_Admin2,0)),
IF(INDEX(P_HS_02,MATCH($C13,IN_Admin2,0))="",0,INDEX(P_HS_02,MATCH($C13,IN_Admin2,0))),
IF(INDEX(P_HS_06a,MATCH($C13,IN_Admin2,0))="",0,INDEX(P_HS_06a,MATCH($C13,IN_Admin2,0))),
IF(INDEX(P_HS_06b,MATCH($C13,IN_Admin2,0))="",0,INDEX(P_HS_06b,MATCH($C13,IN_Admin2,0))),
IF(INDEX(P_HS_06c,MATCH($C13,IN_Admin2,0))="",0,INDEX(P_HS_06c,MATCH($C13,IN_Admin2,0))))</f>
        <v>785361.43999999983</v>
      </c>
      <c r="G13" s="6">
        <f t="shared" ca="1" si="2"/>
        <v>330000</v>
      </c>
      <c r="H13" s="6">
        <f ca="1">IF(SUM(AVERAGE(Calculator!W14:Z14)*ScoreCard!$E$26,
AVERAGE(Calculator!AB14:AI14)*ScoreCard!$F$26,
AVERAGE(Calculator!AK14:AL14)*ScoreCard!$G$26)
&gt;
MAX(Calculator!AN45),
SUM(AVERAGE(Calculator!W14:Z14)*ScoreCard!$E$26,
AVERAGE(Calculator!AB14:AI14)*ScoreCard!$F$26,
AVERAGE(Calculator!AK14:AL14)*ScoreCard!$G$26),
MAX(Calculator!AN45))</f>
        <v>3.4050000000000002</v>
      </c>
      <c r="I13" s="5"/>
      <c r="J13" s="5"/>
      <c r="K13" s="5"/>
    </row>
    <row r="14" spans="2:15" x14ac:dyDescent="0.4">
      <c r="B14" s="4" t="str">
        <f>Population_Input!A14</f>
        <v>Eriador</v>
      </c>
      <c r="C14" s="4" t="str">
        <f>Population_Input!B14</f>
        <v>Cardolan</v>
      </c>
      <c r="D14" s="93">
        <f t="shared" si="0"/>
        <v>20287</v>
      </c>
      <c r="E14" s="6">
        <f t="shared" ca="1" si="1"/>
        <v>10549.24</v>
      </c>
      <c r="F14" s="6" cm="1">
        <f t="array" aca="1" ref="F14" ca="1">MAX(INDEX(P_HS_01,MATCH($C14,IN_Admin2,0)),
IF(INDEX(P_HS_02,MATCH($C14,IN_Admin2,0))="",0,INDEX(P_HS_02,MATCH($C14,IN_Admin2,0))),
IF(INDEX(P_HS_06a,MATCH($C14,IN_Admin2,0))="",0,INDEX(P_HS_06a,MATCH($C14,IN_Admin2,0))),
IF(INDEX(P_HS_06b,MATCH($C14,IN_Admin2,0))="",0,INDEX(P_HS_06b,MATCH($C14,IN_Admin2,0))),
IF(INDEX(P_HS_06c,MATCH($C14,IN_Admin2,0))="",0,INDEX(P_HS_06c,MATCH($C14,IN_Admin2,0))))</f>
        <v>12983.679999999998</v>
      </c>
      <c r="G14" s="6">
        <f t="shared" ca="1" si="2"/>
        <v>11091</v>
      </c>
      <c r="H14" s="6">
        <f ca="1">IF(SUM(AVERAGE(Calculator!W15:Z15)*ScoreCard!$E$26,
AVERAGE(Calculator!AB15:AI15)*ScoreCard!$F$26,
AVERAGE(Calculator!AK15:AL15)*ScoreCard!$G$26)
&gt;
MAX(Calculator!AN46),
SUM(AVERAGE(Calculator!W15:Z15)*ScoreCard!$E$26,
AVERAGE(Calculator!AB15:AI15)*ScoreCard!$F$26,
AVERAGE(Calculator!AK15:AL15)*ScoreCard!$G$26),
MAX(Calculator!AN46))</f>
        <v>2.91</v>
      </c>
      <c r="I14" s="5"/>
      <c r="J14" s="5"/>
      <c r="K14" s="5"/>
    </row>
    <row r="15" spans="2:15" x14ac:dyDescent="0.4">
      <c r="B15" s="4" t="str">
        <f>Population_Input!A15</f>
        <v>Eriador</v>
      </c>
      <c r="C15" s="4" t="str">
        <f>Population_Input!B15</f>
        <v>Eregion</v>
      </c>
      <c r="D15" s="93">
        <f t="shared" si="0"/>
        <v>27002</v>
      </c>
      <c r="E15" s="6">
        <f t="shared" ca="1" si="1"/>
        <v>13771.02</v>
      </c>
      <c r="F15" s="6" cm="1">
        <f t="array" aca="1" ref="F15" ca="1">MAX(INDEX(P_HS_01,MATCH($C15,IN_Admin2,0)),
IF(INDEX(P_HS_02,MATCH($C15,IN_Admin2,0))="",0,INDEX(P_HS_02,MATCH($C15,IN_Admin2,0))),
IF(INDEX(P_HS_06a,MATCH($C15,IN_Admin2,0))="",0,INDEX(P_HS_06a,MATCH($C15,IN_Admin2,0))),
IF(INDEX(P_HS_06b,MATCH($C15,IN_Admin2,0))="",0,INDEX(P_HS_06b,MATCH($C15,IN_Admin2,0))),
IF(INDEX(P_HS_06c,MATCH($C15,IN_Admin2,0))="",0,INDEX(P_HS_06c,MATCH($C15,IN_Admin2,0))))</f>
        <v>23221.72</v>
      </c>
      <c r="G15" s="6">
        <f t="shared" ca="1" si="2"/>
        <v>24417</v>
      </c>
      <c r="H15" s="6">
        <f ca="1">IF(SUM(AVERAGE(Calculator!W16:Z16)*ScoreCard!$E$26,
AVERAGE(Calculator!AB16:AI16)*ScoreCard!$F$26,
AVERAGE(Calculator!AK16:AL16)*ScoreCard!$G$26)
&gt;
MAX(Calculator!AN47),
SUM(AVERAGE(Calculator!W16:Z16)*ScoreCard!$E$26,
AVERAGE(Calculator!AB16:AI16)*ScoreCard!$F$26,
AVERAGE(Calculator!AK16:AL16)*ScoreCard!$G$26),
MAX(Calculator!AN47))</f>
        <v>5</v>
      </c>
      <c r="I15" s="5"/>
      <c r="J15" s="5"/>
      <c r="K15" s="5"/>
    </row>
    <row r="16" spans="2:15" x14ac:dyDescent="0.4">
      <c r="B16" s="4" t="str">
        <f>Population_Input!A16</f>
        <v>Eriador</v>
      </c>
      <c r="C16" s="4" t="str">
        <f>Population_Input!B16</f>
        <v>Rhudaur</v>
      </c>
      <c r="D16" s="93">
        <f t="shared" si="0"/>
        <v>2735</v>
      </c>
      <c r="E16" s="6">
        <f t="shared" ca="1" si="1"/>
        <v>2735</v>
      </c>
      <c r="F16" s="6" cm="1">
        <f t="array" aca="1" ref="F16" ca="1">MAX(INDEX(P_HS_01,MATCH($C16,IN_Admin2,0)),
IF(INDEX(P_HS_02,MATCH($C16,IN_Admin2,0))="",0,INDEX(P_HS_02,MATCH($C16,IN_Admin2,0))),
IF(INDEX(P_HS_06a,MATCH($C16,IN_Admin2,0))="",0,INDEX(P_HS_06a,MATCH($C16,IN_Admin2,0))),
IF(INDEX(P_HS_06b,MATCH($C16,IN_Admin2,0))="",0,INDEX(P_HS_06b,MATCH($C16,IN_Admin2,0))),
IF(INDEX(P_HS_06c,MATCH($C16,IN_Admin2,0))="",0,INDEX(P_HS_06c,MATCH($C16,IN_Admin2,0))))</f>
        <v>1558.9500000000003</v>
      </c>
      <c r="G16" s="6">
        <f t="shared" ca="1" si="2"/>
        <v>806</v>
      </c>
      <c r="H16" s="6">
        <f ca="1">IF(SUM(AVERAGE(Calculator!W17:Z17)*ScoreCard!$E$26,
AVERAGE(Calculator!AB17:AI17)*ScoreCard!$F$26,
AVERAGE(Calculator!AK17:AL17)*ScoreCard!$G$26)
&gt;
MAX(Calculator!AN48),
SUM(AVERAGE(Calculator!W17:Z17)*ScoreCard!$E$26,
AVERAGE(Calculator!AB17:AI17)*ScoreCard!$F$26,
AVERAGE(Calculator!AK17:AL17)*ScoreCard!$G$26),
MAX(Calculator!AN48))</f>
        <v>3.0975000000000001</v>
      </c>
      <c r="I16" s="5"/>
      <c r="J16" s="5"/>
      <c r="K16" s="5"/>
    </row>
    <row r="17" spans="2:11" x14ac:dyDescent="0.4">
      <c r="B17" s="4" t="str">
        <f>Population_Input!A17</f>
        <v>Eriador</v>
      </c>
      <c r="C17" s="4" t="str">
        <f>Population_Input!B17</f>
        <v>The Shire</v>
      </c>
      <c r="D17" s="93">
        <f t="shared" si="0"/>
        <v>127744</v>
      </c>
      <c r="E17" s="6">
        <f t="shared" ca="1" si="1"/>
        <v>120244</v>
      </c>
      <c r="F17" s="6" cm="1">
        <f t="array" aca="1" ref="F17" ca="1">MAX(INDEX(P_HS_01,MATCH($C17,IN_Admin2,0)),
IF(INDEX(P_HS_02,MATCH($C17,IN_Admin2,0))="",0,INDEX(P_HS_02,MATCH($C17,IN_Admin2,0))),
IF(INDEX(P_HS_06a,MATCH($C17,IN_Admin2,0))="",0,INDEX(P_HS_06a,MATCH($C17,IN_Admin2,0))),
IF(INDEX(P_HS_06b,MATCH($C17,IN_Admin2,0))="",0,INDEX(P_HS_06b,MATCH($C17,IN_Admin2,0))),
IF(INDEX(P_HS_06c,MATCH($C17,IN_Admin2,0))="",0,INDEX(P_HS_06c,MATCH($C17,IN_Admin2,0))))</f>
        <v>93253.119999999995</v>
      </c>
      <c r="G17" s="6">
        <f t="shared" ca="1" si="2"/>
        <v>18411</v>
      </c>
      <c r="H17" s="6">
        <f ca="1">IF(SUM(AVERAGE(Calculator!W18:Z18)*ScoreCard!$E$26,
AVERAGE(Calculator!AB18:AI18)*ScoreCard!$F$26,
AVERAGE(Calculator!AK18:AL18)*ScoreCard!$G$26)
&gt;
MAX(Calculator!AN49),
SUM(AVERAGE(Calculator!W18:Z18)*ScoreCard!$E$26,
AVERAGE(Calculator!AB18:AI18)*ScoreCard!$F$26,
AVERAGE(Calculator!AK18:AL18)*ScoreCard!$G$26),
MAX(Calculator!AN49))</f>
        <v>5</v>
      </c>
      <c r="I17" s="5"/>
      <c r="J17" s="5"/>
      <c r="K17" s="5"/>
    </row>
    <row r="18" spans="2:11" x14ac:dyDescent="0.4">
      <c r="B18" s="4" t="str">
        <f>Population_Input!A18</f>
        <v>Eriador</v>
      </c>
      <c r="C18" s="4" t="str">
        <f>Population_Input!B18</f>
        <v>Thorin's Halls</v>
      </c>
      <c r="D18" s="93">
        <f t="shared" si="0"/>
        <v>30510</v>
      </c>
      <c r="E18" s="6">
        <f t="shared" ca="1" si="1"/>
        <v>30510</v>
      </c>
      <c r="F18" s="6" cm="1">
        <f t="array" aca="1" ref="F18" ca="1">MAX(INDEX(P_HS_01,MATCH($C18,IN_Admin2,0)),
IF(INDEX(P_HS_02,MATCH($C18,IN_Admin2,0))="",0,INDEX(P_HS_02,MATCH($C18,IN_Admin2,0))),
IF(INDEX(P_HS_06a,MATCH($C18,IN_Admin2,0))="",0,INDEX(P_HS_06a,MATCH($C18,IN_Admin2,0))),
IF(INDEX(P_HS_06b,MATCH($C18,IN_Admin2,0))="",0,INDEX(P_HS_06b,MATCH($C18,IN_Admin2,0))),
IF(INDEX(P_HS_06c,MATCH($C18,IN_Admin2,0))="",0,INDEX(P_HS_06c,MATCH($C18,IN_Admin2,0))))</f>
        <v>24713.1</v>
      </c>
      <c r="G18" s="6">
        <f t="shared" ca="1" si="2"/>
        <v>20952</v>
      </c>
      <c r="H18" s="6">
        <f ca="1">IF(SUM(AVERAGE(Calculator!W19:Z19)*ScoreCard!$E$26,
AVERAGE(Calculator!AB19:AI19)*ScoreCard!$F$26,
AVERAGE(Calculator!AK19:AL19)*ScoreCard!$G$26)
&gt;
MAX(Calculator!AN50),
SUM(AVERAGE(Calculator!W19:Z19)*ScoreCard!$E$26,
AVERAGE(Calculator!AB19:AI19)*ScoreCard!$F$26,
AVERAGE(Calculator!AK19:AL19)*ScoreCard!$G$26),
MAX(Calculator!AN50))</f>
        <v>5</v>
      </c>
      <c r="I18" s="5"/>
      <c r="J18" s="5"/>
      <c r="K18" s="5"/>
    </row>
    <row r="19" spans="2:11" x14ac:dyDescent="0.4">
      <c r="B19" s="4" t="str">
        <f>Population_Input!A19</f>
        <v>Forodwaith</v>
      </c>
      <c r="C19" s="4" t="str">
        <f>Population_Input!B19</f>
        <v>Cape of Forochel</v>
      </c>
      <c r="D19" s="93">
        <f t="shared" si="0"/>
        <v>7545</v>
      </c>
      <c r="E19" s="6">
        <f t="shared" ca="1" si="1"/>
        <v>5130.6000000000004</v>
      </c>
      <c r="F19" s="6" cm="1">
        <f t="array" aca="1" ref="F19" ca="1">MAX(INDEX(P_HS_01,MATCH($C19,IN_Admin2,0)),
IF(INDEX(P_HS_02,MATCH($C19,IN_Admin2,0))="",0,INDEX(P_HS_02,MATCH($C19,IN_Admin2,0))),
IF(INDEX(P_HS_06a,MATCH($C19,IN_Admin2,0))="",0,INDEX(P_HS_06a,MATCH($C19,IN_Admin2,0))),
IF(INDEX(P_HS_06b,MATCH($C19,IN_Admin2,0))="",0,INDEX(P_HS_06b,MATCH($C19,IN_Admin2,0))),
IF(INDEX(P_HS_06c,MATCH($C19,IN_Admin2,0))="",0,INDEX(P_HS_06c,MATCH($C19,IN_Admin2,0))))</f>
        <v>6111.4500000000007</v>
      </c>
      <c r="G19" s="6">
        <f t="shared" ca="1" si="2"/>
        <v>918</v>
      </c>
      <c r="H19" s="6">
        <f ca="1">IF(SUM(AVERAGE(Calculator!W20:Z20)*ScoreCard!$E$26,
AVERAGE(Calculator!AB20:AI20)*ScoreCard!$F$26,
AVERAGE(Calculator!AK20:AL20)*ScoreCard!$G$26)
&gt;
MAX(Calculator!AN51),
SUM(AVERAGE(Calculator!W20:Z20)*ScoreCard!$E$26,
AVERAGE(Calculator!AB20:AI20)*ScoreCard!$F$26,
AVERAGE(Calculator!AK20:AL20)*ScoreCard!$G$26),
MAX(Calculator!AN51))</f>
        <v>4</v>
      </c>
      <c r="I19" s="5"/>
      <c r="J19" s="5"/>
      <c r="K19" s="5"/>
    </row>
    <row r="20" spans="2:11" x14ac:dyDescent="0.4">
      <c r="B20" s="4" t="str">
        <f>Population_Input!A20</f>
        <v>Forodwaith</v>
      </c>
      <c r="C20" s="4" t="str">
        <f>Population_Input!B20</f>
        <v>Forochel</v>
      </c>
      <c r="D20" s="93">
        <f t="shared" si="0"/>
        <v>5074</v>
      </c>
      <c r="E20" s="6">
        <f t="shared" ca="1" si="1"/>
        <v>1369.98</v>
      </c>
      <c r="F20" s="6" cm="1">
        <f t="array" aca="1" ref="F20" ca="1">MAX(INDEX(P_HS_01,MATCH($C20,IN_Admin2,0)),
IF(INDEX(P_HS_02,MATCH($C20,IN_Admin2,0))="",0,INDEX(P_HS_02,MATCH($C20,IN_Admin2,0))),
IF(INDEX(P_HS_06a,MATCH($C20,IN_Admin2,0))="",0,INDEX(P_HS_06a,MATCH($C20,IN_Admin2,0))),
IF(INDEX(P_HS_06b,MATCH($C20,IN_Admin2,0))="",0,INDEX(P_HS_06b,MATCH($C20,IN_Admin2,0))),
IF(INDEX(P_HS_06c,MATCH($C20,IN_Admin2,0))="",0,INDEX(P_HS_06c,MATCH($C20,IN_Admin2,0))))</f>
        <v>3044.4000000000005</v>
      </c>
      <c r="G20" s="6">
        <f t="shared" ca="1" si="2"/>
        <v>2643</v>
      </c>
      <c r="H20" s="6">
        <f ca="1">IF(SUM(AVERAGE(Calculator!W21:Z21)*ScoreCard!$E$26,
AVERAGE(Calculator!AB21:AI21)*ScoreCard!$F$26,
AVERAGE(Calculator!AK21:AL21)*ScoreCard!$G$26)
&gt;
MAX(Calculator!AN52),
SUM(AVERAGE(Calculator!W21:Z21)*ScoreCard!$E$26,
AVERAGE(Calculator!AB21:AI21)*ScoreCard!$F$26,
AVERAGE(Calculator!AK21:AL21)*ScoreCard!$G$26),
MAX(Calculator!AN52))</f>
        <v>4</v>
      </c>
      <c r="I20" s="5"/>
      <c r="J20" s="5"/>
      <c r="K20" s="5"/>
    </row>
    <row r="21" spans="2:11" x14ac:dyDescent="0.4">
      <c r="B21" s="4" t="str">
        <f>Population_Input!A21</f>
        <v>Gondor</v>
      </c>
      <c r="C21" s="4" t="str">
        <f>Population_Input!B21</f>
        <v>Anfalas</v>
      </c>
      <c r="D21" s="93">
        <f t="shared" si="0"/>
        <v>54347</v>
      </c>
      <c r="E21" s="6">
        <f t="shared" ca="1" si="1"/>
        <v>54347</v>
      </c>
      <c r="F21" s="6" cm="1">
        <f t="array" aca="1" ref="F21" ca="1">MAX(INDEX(P_HS_01,MATCH($C21,IN_Admin2,0)),
IF(INDEX(P_HS_02,MATCH($C21,IN_Admin2,0))="",0,INDEX(P_HS_02,MATCH($C21,IN_Admin2,0))),
IF(INDEX(P_HS_06a,MATCH($C21,IN_Admin2,0))="",0,INDEX(P_HS_06a,MATCH($C21,IN_Admin2,0))),
IF(INDEX(P_HS_06b,MATCH($C21,IN_Admin2,0))="",0,INDEX(P_HS_06b,MATCH($C21,IN_Admin2,0))),
IF(INDEX(P_HS_06c,MATCH($C21,IN_Admin2,0))="",0,INDEX(P_HS_06c,MATCH($C21,IN_Admin2,0))))</f>
        <v>40216.78</v>
      </c>
      <c r="G21" s="6">
        <f t="shared" ca="1" si="2"/>
        <v>12641</v>
      </c>
      <c r="H21" s="6">
        <f ca="1">IF(SUM(AVERAGE(Calculator!W22:Z22)*ScoreCard!$E$26,
AVERAGE(Calculator!AB22:AI22)*ScoreCard!$F$26,
AVERAGE(Calculator!AK22:AL22)*ScoreCard!$G$26)
&gt;
MAX(Calculator!AN53),
SUM(AVERAGE(Calculator!W22:Z22)*ScoreCard!$E$26,
AVERAGE(Calculator!AB22:AI22)*ScoreCard!$F$26,
AVERAGE(Calculator!AK22:AL22)*ScoreCard!$G$26),
MAX(Calculator!AN53))</f>
        <v>2.54</v>
      </c>
      <c r="I21" s="5"/>
      <c r="J21" s="5"/>
      <c r="K21" s="5"/>
    </row>
    <row r="22" spans="2:11" x14ac:dyDescent="0.4">
      <c r="B22" s="4" t="str">
        <f>Population_Input!A22</f>
        <v>Gondor</v>
      </c>
      <c r="C22" s="4" t="str">
        <f>Population_Input!B22</f>
        <v>Anorien</v>
      </c>
      <c r="D22" s="93">
        <f t="shared" si="0"/>
        <v>6116</v>
      </c>
      <c r="E22" s="6">
        <f t="shared" ca="1" si="1"/>
        <v>6116</v>
      </c>
      <c r="F22" s="6" cm="1">
        <f t="array" aca="1" ref="F22" ca="1">MAX(INDEX(P_HS_01,MATCH($C22,IN_Admin2,0)),
IF(INDEX(P_HS_02,MATCH($C22,IN_Admin2,0))="",0,INDEX(P_HS_02,MATCH($C22,IN_Admin2,0))),
IF(INDEX(P_HS_06a,MATCH($C22,IN_Admin2,0))="",0,INDEX(P_HS_06a,MATCH($C22,IN_Admin2,0))),
IF(INDEX(P_HS_06b,MATCH($C22,IN_Admin2,0))="",0,INDEX(P_HS_06b,MATCH($C22,IN_Admin2,0))),
IF(INDEX(P_HS_06c,MATCH($C22,IN_Admin2,0))="",0,INDEX(P_HS_06c,MATCH($C22,IN_Admin2,0))))</f>
        <v>2079.4399999999996</v>
      </c>
      <c r="G22" s="6">
        <f t="shared" ca="1" si="2"/>
        <v>4235</v>
      </c>
      <c r="H22" s="6">
        <f ca="1">IF(SUM(AVERAGE(Calculator!W23:Z23)*ScoreCard!$E$26,
AVERAGE(Calculator!AB23:AI23)*ScoreCard!$F$26,
AVERAGE(Calculator!AK23:AL23)*ScoreCard!$G$26)
&gt;
MAX(Calculator!AN54),
SUM(AVERAGE(Calculator!W23:Z23)*ScoreCard!$E$26,
AVERAGE(Calculator!AB23:AI23)*ScoreCard!$F$26,
AVERAGE(Calculator!AK23:AL23)*ScoreCard!$G$26),
MAX(Calculator!AN54))</f>
        <v>5</v>
      </c>
      <c r="I22" s="5"/>
      <c r="J22" s="5"/>
      <c r="K22" s="5"/>
    </row>
    <row r="23" spans="2:11" x14ac:dyDescent="0.4">
      <c r="B23" s="4" t="str">
        <f>Population_Input!A23</f>
        <v>Gondor</v>
      </c>
      <c r="C23" s="4" t="str">
        <f>Population_Input!B23</f>
        <v>Belfalas</v>
      </c>
      <c r="D23" s="93">
        <f t="shared" si="0"/>
        <v>552154</v>
      </c>
      <c r="E23" s="6">
        <f t="shared" ca="1" si="1"/>
        <v>534376.22222222225</v>
      </c>
      <c r="F23" s="6" cm="1">
        <f t="array" aca="1" ref="F23" ca="1">MAX(INDEX(P_HS_01,MATCH($C23,IN_Admin2,0)),
IF(INDEX(P_HS_02,MATCH($C23,IN_Admin2,0))="",0,INDEX(P_HS_02,MATCH($C23,IN_Admin2,0))),
IF(INDEX(P_HS_06a,MATCH($C23,IN_Admin2,0))="",0,INDEX(P_HS_06a,MATCH($C23,IN_Admin2,0))),
IF(INDEX(P_HS_06b,MATCH($C23,IN_Admin2,0))="",0,INDEX(P_HS_06b,MATCH($C23,IN_Admin2,0))),
IF(INDEX(P_HS_06c,MATCH($C23,IN_Admin2,0))="",0,INDEX(P_HS_06c,MATCH($C23,IN_Admin2,0))))</f>
        <v>397550.88</v>
      </c>
      <c r="G23" s="6">
        <f t="shared" ca="1" si="2"/>
        <v>181302</v>
      </c>
      <c r="H23" s="6">
        <f ca="1">IF(SUM(AVERAGE(Calculator!W24:Z24)*ScoreCard!$E$26,
AVERAGE(Calculator!AB24:AI24)*ScoreCard!$F$26,
AVERAGE(Calculator!AK24:AL24)*ScoreCard!$G$26)
&gt;
MAX(Calculator!AN55),
SUM(AVERAGE(Calculator!W24:Z24)*ScoreCard!$E$26,
AVERAGE(Calculator!AB24:AI24)*ScoreCard!$F$26,
AVERAGE(Calculator!AK24:AL24)*ScoreCard!$G$26),
MAX(Calculator!AN55))</f>
        <v>3.1050000000000004</v>
      </c>
      <c r="I23" s="5"/>
      <c r="J23" s="5"/>
      <c r="K23" s="5"/>
    </row>
    <row r="24" spans="2:11" x14ac:dyDescent="0.4">
      <c r="B24" s="4" t="str">
        <f>Population_Input!A24</f>
        <v>Gondor</v>
      </c>
      <c r="C24" s="4" t="str">
        <f>Population_Input!B24</f>
        <v>Dor-en-Ernil</v>
      </c>
      <c r="D24" s="93">
        <f t="shared" si="0"/>
        <v>10284</v>
      </c>
      <c r="E24" s="6">
        <f t="shared" ca="1" si="1"/>
        <v>5244.84</v>
      </c>
      <c r="F24" s="6" cm="1">
        <f t="array" aca="1" ref="F24" ca="1">MAX(INDEX(P_HS_01,MATCH($C24,IN_Admin2,0)),
IF(INDEX(P_HS_02,MATCH($C24,IN_Admin2,0))="",0,INDEX(P_HS_02,MATCH($C24,IN_Admin2,0))),
IF(INDEX(P_HS_06a,MATCH($C24,IN_Admin2,0))="",0,INDEX(P_HS_06a,MATCH($C24,IN_Admin2,0))),
IF(INDEX(P_HS_06b,MATCH($C24,IN_Admin2,0))="",0,INDEX(P_HS_06b,MATCH($C24,IN_Admin2,0))),
IF(INDEX(P_HS_06c,MATCH($C24,IN_Admin2,0))="",0,INDEX(P_HS_06c,MATCH($C24,IN_Admin2,0))))</f>
        <v>7507.32</v>
      </c>
      <c r="G24" s="6">
        <f t="shared" ca="1" si="2"/>
        <v>9357</v>
      </c>
      <c r="H24" s="6">
        <f ca="1">IF(SUM(AVERAGE(Calculator!W25:Z25)*ScoreCard!$E$26,
AVERAGE(Calculator!AB25:AI25)*ScoreCard!$F$26,
AVERAGE(Calculator!AK25:AL25)*ScoreCard!$G$26)
&gt;
MAX(Calculator!AN56),
SUM(AVERAGE(Calculator!W25:Z25)*ScoreCard!$E$26,
AVERAGE(Calculator!AB25:AI25)*ScoreCard!$F$26,
AVERAGE(Calculator!AK25:AL25)*ScoreCard!$G$26),
MAX(Calculator!AN56))</f>
        <v>3.23</v>
      </c>
      <c r="I24" s="5"/>
      <c r="J24" s="5"/>
      <c r="K24" s="5"/>
    </row>
    <row r="25" spans="2:11" x14ac:dyDescent="0.4">
      <c r="B25" s="4" t="str">
        <f>Population_Input!A25</f>
        <v>Gondor</v>
      </c>
      <c r="C25" s="4" t="str">
        <f>Population_Input!B25</f>
        <v>Ethir Anduin</v>
      </c>
      <c r="D25" s="93">
        <f t="shared" si="0"/>
        <v>15896</v>
      </c>
      <c r="E25" s="6">
        <f t="shared" ca="1" si="1"/>
        <v>6358.4000000000005</v>
      </c>
      <c r="F25" s="6" cm="1">
        <f t="array" aca="1" ref="F25" ca="1">MAX(INDEX(P_HS_01,MATCH($C25,IN_Admin2,0)),
IF(INDEX(P_HS_02,MATCH($C25,IN_Admin2,0))="",0,INDEX(P_HS_02,MATCH($C25,IN_Admin2,0))),
IF(INDEX(P_HS_06a,MATCH($C25,IN_Admin2,0))="",0,INDEX(P_HS_06a,MATCH($C25,IN_Admin2,0))),
IF(INDEX(P_HS_06b,MATCH($C25,IN_Admin2,0))="",0,INDEX(P_HS_06b,MATCH($C25,IN_Admin2,0))),
IF(INDEX(P_HS_06c,MATCH($C25,IN_Admin2,0))="",0,INDEX(P_HS_06c,MATCH($C25,IN_Admin2,0))))</f>
        <v>12398.880000000001</v>
      </c>
      <c r="G25" s="6">
        <f t="shared" ca="1" si="2"/>
        <v>7840</v>
      </c>
      <c r="H25" s="6">
        <f ca="1">IF(SUM(AVERAGE(Calculator!W26:Z26)*ScoreCard!$E$26,
AVERAGE(Calculator!AB26:AI26)*ScoreCard!$F$26,
AVERAGE(Calculator!AK26:AL26)*ScoreCard!$G$26)
&gt;
MAX(Calculator!AN57),
SUM(AVERAGE(Calculator!W26:Z26)*ScoreCard!$E$26,
AVERAGE(Calculator!AB26:AI26)*ScoreCard!$F$26,
AVERAGE(Calculator!AK26:AL26)*ScoreCard!$G$26),
MAX(Calculator!AN57))</f>
        <v>2.91</v>
      </c>
      <c r="I25" s="5"/>
      <c r="J25" s="5"/>
      <c r="K25" s="5"/>
    </row>
    <row r="26" spans="2:11" x14ac:dyDescent="0.4">
      <c r="B26" s="4" t="str">
        <f>Population_Input!A26</f>
        <v>Gondor</v>
      </c>
      <c r="C26" s="4" t="str">
        <f>Population_Input!B26</f>
        <v>Ithilien</v>
      </c>
      <c r="D26" s="93">
        <f t="shared" si="0"/>
        <v>26313</v>
      </c>
      <c r="E26" s="6">
        <f t="shared" ca="1" si="1"/>
        <v>4999.4700000000012</v>
      </c>
      <c r="F26" s="6" cm="1">
        <f t="array" aca="1" ref="F26" ca="1">MAX(INDEX(P_HS_01,MATCH($C26,IN_Admin2,0)),
IF(INDEX(P_HS_02,MATCH($C26,IN_Admin2,0))="",0,INDEX(P_HS_02,MATCH($C26,IN_Admin2,0))),
IF(INDEX(P_HS_06a,MATCH($C26,IN_Admin2,0))="",0,INDEX(P_HS_06a,MATCH($C26,IN_Admin2,0))),
IF(INDEX(P_HS_06b,MATCH($C26,IN_Admin2,0))="",0,INDEX(P_HS_06b,MATCH($C26,IN_Admin2,0))),
IF(INDEX(P_HS_06c,MATCH($C26,IN_Admin2,0))="",0,INDEX(P_HS_06c,MATCH($C26,IN_Admin2,0))))</f>
        <v>20524.14</v>
      </c>
      <c r="G26" s="6">
        <f t="shared" ca="1" si="2"/>
        <v>16709</v>
      </c>
      <c r="H26" s="6">
        <f ca="1">IF(SUM(AVERAGE(Calculator!W27:Z27)*ScoreCard!$E$26,
AVERAGE(Calculator!AB27:AI27)*ScoreCard!$F$26,
AVERAGE(Calculator!AK27:AL27)*ScoreCard!$G$26)
&gt;
MAX(Calculator!AN58),
SUM(AVERAGE(Calculator!W27:Z27)*ScoreCard!$E$26,
AVERAGE(Calculator!AB27:AI27)*ScoreCard!$F$26,
AVERAGE(Calculator!AK27:AL27)*ScoreCard!$G$26),
MAX(Calculator!AN58))</f>
        <v>3.0550000000000002</v>
      </c>
      <c r="I26" s="5"/>
      <c r="J26" s="5"/>
      <c r="K26" s="5"/>
    </row>
    <row r="27" spans="2:11" x14ac:dyDescent="0.4">
      <c r="B27" s="4" t="str">
        <f>Population_Input!A27</f>
        <v>Gondor</v>
      </c>
      <c r="C27" s="4" t="str">
        <f>Population_Input!B27</f>
        <v>Lamedon</v>
      </c>
      <c r="D27" s="93">
        <f t="shared" si="0"/>
        <v>8120</v>
      </c>
      <c r="E27" s="6">
        <f t="shared" ca="1" si="1"/>
        <v>2760.8</v>
      </c>
      <c r="F27" s="6" cm="1">
        <f t="array" aca="1" ref="F27" ca="1">MAX(INDEX(P_HS_01,MATCH($C27,IN_Admin2,0)),
IF(INDEX(P_HS_02,MATCH($C27,IN_Admin2,0))="",0,INDEX(P_HS_02,MATCH($C27,IN_Admin2,0))),
IF(INDEX(P_HS_06a,MATCH($C27,IN_Admin2,0))="",0,INDEX(P_HS_06a,MATCH($C27,IN_Admin2,0))),
IF(INDEX(P_HS_06b,MATCH($C27,IN_Admin2,0))="",0,INDEX(P_HS_06b,MATCH($C27,IN_Admin2,0))),
IF(INDEX(P_HS_06c,MATCH($C27,IN_Admin2,0))="",0,INDEX(P_HS_06c,MATCH($C27,IN_Admin2,0))))</f>
        <v>7145.5999999999995</v>
      </c>
      <c r="G27" s="6">
        <f t="shared" ca="1" si="2"/>
        <v>4148</v>
      </c>
      <c r="H27" s="6">
        <f ca="1">IF(SUM(AVERAGE(Calculator!W28:Z28)*ScoreCard!$E$26,
AVERAGE(Calculator!AB28:AI28)*ScoreCard!$F$26,
AVERAGE(Calculator!AK28:AL28)*ScoreCard!$G$26)
&gt;
MAX(Calculator!AN59),
SUM(AVERAGE(Calculator!W28:Z28)*ScoreCard!$E$26,
AVERAGE(Calculator!AB28:AI28)*ScoreCard!$F$26,
AVERAGE(Calculator!AK28:AL28)*ScoreCard!$G$26),
MAX(Calculator!AN59))</f>
        <v>5</v>
      </c>
      <c r="I27" s="5"/>
      <c r="J27" s="5"/>
      <c r="K27" s="5"/>
    </row>
    <row r="28" spans="2:11" x14ac:dyDescent="0.4">
      <c r="B28" s="4" t="str">
        <f>Population_Input!A28</f>
        <v>Gondor</v>
      </c>
      <c r="C28" s="4" t="str">
        <f>Population_Input!B28</f>
        <v>Lebennin</v>
      </c>
      <c r="D28" s="93">
        <f t="shared" si="0"/>
        <v>9634</v>
      </c>
      <c r="E28" s="6">
        <f t="shared" ca="1" si="1"/>
        <v>4624.3200000000006</v>
      </c>
      <c r="F28" s="6" cm="1">
        <f t="array" aca="1" ref="F28" ca="1">MAX(INDEX(P_HS_01,MATCH($C28,IN_Admin2,0)),
IF(INDEX(P_HS_02,MATCH($C28,IN_Admin2,0))="",0,INDEX(P_HS_02,MATCH($C28,IN_Admin2,0))),
IF(INDEX(P_HS_06a,MATCH($C28,IN_Admin2,0))="",0,INDEX(P_HS_06a,MATCH($C28,IN_Admin2,0))),
IF(INDEX(P_HS_06b,MATCH($C28,IN_Admin2,0))="",0,INDEX(P_HS_06b,MATCH($C28,IN_Admin2,0))),
IF(INDEX(P_HS_06c,MATCH($C28,IN_Admin2,0))="",0,INDEX(P_HS_06c,MATCH($C28,IN_Admin2,0))))</f>
        <v>4238.96</v>
      </c>
      <c r="G28" s="6">
        <f t="shared" ca="1" si="2"/>
        <v>347</v>
      </c>
      <c r="H28" s="6">
        <f ca="1">IF(SUM(AVERAGE(Calculator!W29:Z29)*ScoreCard!$E$26,
AVERAGE(Calculator!AB29:AI29)*ScoreCard!$F$26,
AVERAGE(Calculator!AK29:AL29)*ScoreCard!$G$26)
&gt;
MAX(Calculator!AN60),
SUM(AVERAGE(Calculator!W29:Z29)*ScoreCard!$E$26,
AVERAGE(Calculator!AB29:AI29)*ScoreCard!$F$26,
AVERAGE(Calculator!AK29:AL29)*ScoreCard!$G$26),
MAX(Calculator!AN60))</f>
        <v>2.88</v>
      </c>
      <c r="I28" s="5"/>
      <c r="J28" s="5"/>
      <c r="K28" s="5"/>
    </row>
    <row r="29" spans="2:11" x14ac:dyDescent="0.4">
      <c r="B29" s="4" t="str">
        <f>Population_Input!A29</f>
        <v>Gondor</v>
      </c>
      <c r="C29" s="4" t="str">
        <f>Population_Input!B29</f>
        <v>Lossarnach</v>
      </c>
      <c r="D29" s="93">
        <f t="shared" si="0"/>
        <v>30356</v>
      </c>
      <c r="E29" s="6">
        <f t="shared" ca="1" si="1"/>
        <v>30356</v>
      </c>
      <c r="F29" s="6" cm="1">
        <f t="array" aca="1" ref="F29" ca="1">MAX(INDEX(P_HS_01,MATCH($C29,IN_Admin2,0)),
IF(INDEX(P_HS_02,MATCH($C29,IN_Admin2,0))="",0,INDEX(P_HS_02,MATCH($C29,IN_Admin2,0))),
IF(INDEX(P_HS_06a,MATCH($C29,IN_Admin2,0))="",0,INDEX(P_HS_06a,MATCH($C29,IN_Admin2,0))),
IF(INDEX(P_HS_06b,MATCH($C29,IN_Admin2,0))="",0,INDEX(P_HS_06b,MATCH($C29,IN_Admin2,0))),
IF(INDEX(P_HS_06c,MATCH($C29,IN_Admin2,0))="",0,INDEX(P_HS_06c,MATCH($C29,IN_Admin2,0))))</f>
        <v>21856.32</v>
      </c>
      <c r="G29" s="6">
        <f t="shared" ca="1" si="2"/>
        <v>13026</v>
      </c>
      <c r="H29" s="6">
        <f ca="1">IF(SUM(AVERAGE(Calculator!W30:Z30)*ScoreCard!$E$26,
AVERAGE(Calculator!AB30:AI30)*ScoreCard!$F$26,
AVERAGE(Calculator!AK30:AL30)*ScoreCard!$G$26)
&gt;
MAX(Calculator!AN61),
SUM(AVERAGE(Calculator!W30:Z30)*ScoreCard!$E$26,
AVERAGE(Calculator!AB30:AI30)*ScoreCard!$F$26,
AVERAGE(Calculator!AK30:AL30)*ScoreCard!$G$26),
MAX(Calculator!AN61))</f>
        <v>4</v>
      </c>
      <c r="I29" s="5"/>
      <c r="J29" s="5"/>
      <c r="K29" s="5"/>
    </row>
    <row r="30" spans="2:11" x14ac:dyDescent="0.4">
      <c r="B30" s="4" t="str">
        <f>Population_Input!A30</f>
        <v>Gondor</v>
      </c>
      <c r="C30" s="4" t="str">
        <f>Population_Input!B30</f>
        <v>Morthond</v>
      </c>
      <c r="D30" s="93">
        <f t="shared" si="0"/>
        <v>8536</v>
      </c>
      <c r="E30" s="6">
        <f t="shared" ca="1" si="1"/>
        <v>4438.72</v>
      </c>
      <c r="F30" s="6" cm="1">
        <f t="array" aca="1" ref="F30" ca="1">MAX(INDEX(P_HS_01,MATCH($C30,IN_Admin2,0)),
IF(INDEX(P_HS_02,MATCH($C30,IN_Admin2,0))="",0,INDEX(P_HS_02,MATCH($C30,IN_Admin2,0))),
IF(INDEX(P_HS_06a,MATCH($C30,IN_Admin2,0))="",0,INDEX(P_HS_06a,MATCH($C30,IN_Admin2,0))),
IF(INDEX(P_HS_06b,MATCH($C30,IN_Admin2,0))="",0,INDEX(P_HS_06b,MATCH($C30,IN_Admin2,0))),
IF(INDEX(P_HS_06c,MATCH($C30,IN_Admin2,0))="",0,INDEX(P_HS_06c,MATCH($C30,IN_Admin2,0))))</f>
        <v>4268</v>
      </c>
      <c r="G30" s="6">
        <f t="shared" ca="1" si="2"/>
        <v>4023</v>
      </c>
      <c r="H30" s="6">
        <f ca="1">IF(SUM(AVERAGE(Calculator!W31:Z31)*ScoreCard!$E$26,
AVERAGE(Calculator!AB31:AI31)*ScoreCard!$F$26,
AVERAGE(Calculator!AK31:AL31)*ScoreCard!$G$26)
&gt;
MAX(Calculator!AN62),
SUM(AVERAGE(Calculator!W31:Z31)*ScoreCard!$E$26,
AVERAGE(Calculator!AB31:AI31)*ScoreCard!$F$26,
AVERAGE(Calculator!AK31:AL31)*ScoreCard!$G$26),
MAX(Calculator!AN62))</f>
        <v>2.8</v>
      </c>
      <c r="I30" s="5"/>
      <c r="J30" s="5"/>
      <c r="K30" s="5"/>
    </row>
    <row r="31" spans="2:11" x14ac:dyDescent="0.4">
      <c r="B31" s="4" t="str">
        <f>Population_Input!A31</f>
        <v>Gondor</v>
      </c>
      <c r="C31" s="4" t="str">
        <f>Population_Input!B31</f>
        <v>Pinnath Gelin</v>
      </c>
      <c r="D31" s="93">
        <f t="shared" si="0"/>
        <v>83423</v>
      </c>
      <c r="E31" s="6">
        <f t="shared" ca="1" si="1"/>
        <v>83423</v>
      </c>
      <c r="F31" s="6" cm="1">
        <f t="array" aca="1" ref="F31" ca="1">MAX(INDEX(P_HS_01,MATCH($C31,IN_Admin2,0)),
IF(INDEX(P_HS_02,MATCH($C31,IN_Admin2,0))="",0,INDEX(P_HS_02,MATCH($C31,IN_Admin2,0))),
IF(INDEX(P_HS_06a,MATCH($C31,IN_Admin2,0))="",0,INDEX(P_HS_06a,MATCH($C31,IN_Admin2,0))),
IF(INDEX(P_HS_06b,MATCH($C31,IN_Admin2,0))="",0,INDEX(P_HS_06b,MATCH($C31,IN_Admin2,0))),
IF(INDEX(P_HS_06c,MATCH($C31,IN_Admin2,0))="",0,INDEX(P_HS_06c,MATCH($C31,IN_Admin2,0))))</f>
        <v>62567.25</v>
      </c>
      <c r="G31" s="6">
        <f t="shared" ca="1" si="2"/>
        <v>10594</v>
      </c>
      <c r="H31" s="6">
        <f ca="1">IF(SUM(AVERAGE(Calculator!W32:Z32)*ScoreCard!$E$26,
AVERAGE(Calculator!AB32:AI32)*ScoreCard!$F$26,
AVERAGE(Calculator!AK32:AL32)*ScoreCard!$G$26)
&gt;
MAX(Calculator!AN63),
SUM(AVERAGE(Calculator!W32:Z32)*ScoreCard!$E$26,
AVERAGE(Calculator!AB32:AI32)*ScoreCard!$F$26,
AVERAGE(Calculator!AK32:AL32)*ScoreCard!$G$26),
MAX(Calculator!AN63))</f>
        <v>3.1924999999999999</v>
      </c>
      <c r="I31" s="5"/>
      <c r="J31" s="5"/>
      <c r="K31" s="5"/>
    </row>
    <row r="32" spans="2:11" x14ac:dyDescent="0.4">
      <c r="B32" s="4" t="str">
        <f>Population_Input!A32</f>
        <v>Gondor</v>
      </c>
      <c r="C32" s="4" t="str">
        <f>Population_Input!B32</f>
        <v>Ringlo Vale</v>
      </c>
      <c r="D32" s="93">
        <f t="shared" si="0"/>
        <v>9243</v>
      </c>
      <c r="E32" s="6">
        <f t="shared" ca="1" si="1"/>
        <v>4436.6400000000003</v>
      </c>
      <c r="F32" s="6" cm="1">
        <f t="array" aca="1" ref="F32" ca="1">MAX(INDEX(P_HS_01,MATCH($C32,IN_Admin2,0)),
IF(INDEX(P_HS_02,MATCH($C32,IN_Admin2,0))="",0,INDEX(P_HS_02,MATCH($C32,IN_Admin2,0))),
IF(INDEX(P_HS_06a,MATCH($C32,IN_Admin2,0))="",0,INDEX(P_HS_06a,MATCH($C32,IN_Admin2,0))),
IF(INDEX(P_HS_06b,MATCH($C32,IN_Admin2,0))="",0,INDEX(P_HS_06b,MATCH($C32,IN_Admin2,0))),
IF(INDEX(P_HS_06c,MATCH($C32,IN_Admin2,0))="",0,INDEX(P_HS_06c,MATCH($C32,IN_Admin2,0))))</f>
        <v>7764.1200000000008</v>
      </c>
      <c r="G32" s="6">
        <f t="shared" ca="1" si="2"/>
        <v>8141</v>
      </c>
      <c r="H32" s="6">
        <f ca="1">IF(SUM(AVERAGE(Calculator!W33:Z33)*ScoreCard!$E$26,
AVERAGE(Calculator!AB33:AI33)*ScoreCard!$F$26,
AVERAGE(Calculator!AK33:AL33)*ScoreCard!$G$26)
&gt;
MAX(Calculator!AN64),
SUM(AVERAGE(Calculator!W33:Z33)*ScoreCard!$E$26,
AVERAGE(Calculator!AB33:AI33)*ScoreCard!$F$26,
AVERAGE(Calculator!AK33:AL33)*ScoreCard!$G$26),
MAX(Calculator!AN64))</f>
        <v>2.91</v>
      </c>
      <c r="I32" s="5"/>
      <c r="J32" s="5"/>
      <c r="K32" s="5"/>
    </row>
    <row r="33" spans="2:11" x14ac:dyDescent="0.4">
      <c r="B33" s="4" t="str">
        <f>Population_Input!A33</f>
        <v>Harad</v>
      </c>
      <c r="C33" s="4" t="str">
        <f>Population_Input!B33</f>
        <v>Corsairs</v>
      </c>
      <c r="D33" s="93">
        <f t="shared" si="0"/>
        <v>15552</v>
      </c>
      <c r="E33" s="6">
        <f t="shared" ca="1" si="1"/>
        <v>11975.04</v>
      </c>
      <c r="F33" s="6" cm="1">
        <f t="array" aca="1" ref="F33" ca="1">MAX(INDEX(P_HS_01,MATCH($C33,IN_Admin2,0)),
IF(INDEX(P_HS_02,MATCH($C33,IN_Admin2,0))="",0,INDEX(P_HS_02,MATCH($C33,IN_Admin2,0))),
IF(INDEX(P_HS_06a,MATCH($C33,IN_Admin2,0))="",0,INDEX(P_HS_06a,MATCH($C33,IN_Admin2,0))),
IF(INDEX(P_HS_06b,MATCH($C33,IN_Admin2,0))="",0,INDEX(P_HS_06b,MATCH($C33,IN_Admin2,0))),
IF(INDEX(P_HS_06c,MATCH($C33,IN_Admin2,0))="",0,INDEX(P_HS_06c,MATCH($C33,IN_Admin2,0))))</f>
        <v>10264.32</v>
      </c>
      <c r="G33" s="6">
        <f t="shared" ca="1" si="2"/>
        <v>2426</v>
      </c>
      <c r="H33" s="6">
        <f ca="1">IF(SUM(AVERAGE(Calculator!W34:Z34)*ScoreCard!$E$26,
AVERAGE(Calculator!AB34:AI34)*ScoreCard!$F$26,
AVERAGE(Calculator!AK34:AL34)*ScoreCard!$G$26)
&gt;
MAX(Calculator!AN65),
SUM(AVERAGE(Calculator!W34:Z34)*ScoreCard!$E$26,
AVERAGE(Calculator!AB34:AI34)*ScoreCard!$F$26,
AVERAGE(Calculator!AK34:AL34)*ScoreCard!$G$26),
MAX(Calculator!AN65))</f>
        <v>2.7850000000000001</v>
      </c>
      <c r="I33" s="5"/>
      <c r="J33" s="5"/>
      <c r="K33" s="5"/>
    </row>
    <row r="34" spans="2:11" x14ac:dyDescent="0.4">
      <c r="B34" s="4" t="str">
        <f>Population_Input!A34</f>
        <v>Harad</v>
      </c>
      <c r="C34" s="4" t="str">
        <f>Population_Input!B34</f>
        <v>Far Harad</v>
      </c>
      <c r="D34" s="93">
        <f t="shared" si="0"/>
        <v>4532</v>
      </c>
      <c r="E34" s="6">
        <f t="shared" ca="1" si="1"/>
        <v>2084.7200000000003</v>
      </c>
      <c r="F34" s="6" cm="1">
        <f t="array" aca="1" ref="F34" ca="1">MAX(INDEX(P_HS_01,MATCH($C34,IN_Admin2,0)),
IF(INDEX(P_HS_02,MATCH($C34,IN_Admin2,0))="",0,INDEX(P_HS_02,MATCH($C34,IN_Admin2,0))),
IF(INDEX(P_HS_06a,MATCH($C34,IN_Admin2,0))="",0,INDEX(P_HS_06a,MATCH($C34,IN_Admin2,0))),
IF(INDEX(P_HS_06b,MATCH($C34,IN_Admin2,0))="",0,INDEX(P_HS_06b,MATCH($C34,IN_Admin2,0))),
IF(INDEX(P_HS_06c,MATCH($C34,IN_Admin2,0))="",0,INDEX(P_HS_06c,MATCH($C34,IN_Admin2,0))))</f>
        <v>3534.96</v>
      </c>
      <c r="G34" s="6">
        <f t="shared" ca="1" si="2"/>
        <v>1193</v>
      </c>
      <c r="H34" s="6">
        <f ca="1">IF(SUM(AVERAGE(Calculator!W35:Z35)*ScoreCard!$E$26,
AVERAGE(Calculator!AB35:AI35)*ScoreCard!$F$26,
AVERAGE(Calculator!AK35:AL35)*ScoreCard!$G$26)
&gt;
MAX(Calculator!AN66),
SUM(AVERAGE(Calculator!W35:Z35)*ScoreCard!$E$26,
AVERAGE(Calculator!AB35:AI35)*ScoreCard!$F$26,
AVERAGE(Calculator!AK35:AL35)*ScoreCard!$G$26),
MAX(Calculator!AN66))</f>
        <v>2.8</v>
      </c>
      <c r="I34" s="5"/>
      <c r="J34" s="5"/>
      <c r="K34" s="5"/>
    </row>
    <row r="35" spans="2:11" x14ac:dyDescent="0.4">
      <c r="B35" s="4" t="str">
        <f>Population_Input!A35</f>
        <v>Harad</v>
      </c>
      <c r="C35" s="4" t="str">
        <f>Population_Input!B35</f>
        <v>Near harad</v>
      </c>
      <c r="D35" s="93">
        <f t="shared" si="0"/>
        <v>4648</v>
      </c>
      <c r="E35" s="6">
        <f t="shared" ca="1" si="1"/>
        <v>4648</v>
      </c>
      <c r="F35" s="6" cm="1">
        <f t="array" aca="1" ref="F35" ca="1">MAX(INDEX(P_HS_01,MATCH($C35,IN_Admin2,0)),
IF(INDEX(P_HS_02,MATCH($C35,IN_Admin2,0))="",0,INDEX(P_HS_02,MATCH($C35,IN_Admin2,0))),
IF(INDEX(P_HS_06a,MATCH($C35,IN_Admin2,0))="",0,INDEX(P_HS_06a,MATCH($C35,IN_Admin2,0))),
IF(INDEX(P_HS_06b,MATCH($C35,IN_Admin2,0))="",0,INDEX(P_HS_06b,MATCH($C35,IN_Admin2,0))),
IF(INDEX(P_HS_06c,MATCH($C35,IN_Admin2,0))="",0,INDEX(P_HS_06c,MATCH($C35,IN_Admin2,0))))</f>
        <v>4136.72</v>
      </c>
      <c r="G35" s="6">
        <f t="shared" ca="1" si="2"/>
        <v>3906</v>
      </c>
      <c r="H35" s="6">
        <f ca="1">IF(SUM(AVERAGE(Calculator!W36:Z36)*ScoreCard!$E$26,
AVERAGE(Calculator!AB36:AI36)*ScoreCard!$F$26,
AVERAGE(Calculator!AK36:AL36)*ScoreCard!$G$26)
&gt;
MAX(Calculator!AN67),
SUM(AVERAGE(Calculator!W36:Z36)*ScoreCard!$E$26,
AVERAGE(Calculator!AB36:AI36)*ScoreCard!$F$26,
AVERAGE(Calculator!AK36:AL36)*ScoreCard!$G$26),
MAX(Calculator!AN67))</f>
        <v>3.4050000000000002</v>
      </c>
      <c r="I35" s="5"/>
      <c r="J35" s="5"/>
      <c r="K35" s="5"/>
    </row>
    <row r="36" spans="2:11" x14ac:dyDescent="0.4">
      <c r="B36" s="4" t="str">
        <f>Population_Input!A36</f>
        <v>Harad</v>
      </c>
      <c r="C36" s="4" t="str">
        <f>Population_Input!B36</f>
        <v>Umbar</v>
      </c>
      <c r="D36" s="93">
        <f t="shared" ref="D36:D56" si="3">INDEX(Population,MATCH(C36,Admin2,0))</f>
        <v>51143</v>
      </c>
      <c r="E36" s="6">
        <f t="shared" ca="1" si="1"/>
        <v>51143</v>
      </c>
      <c r="F36" s="6" cm="1">
        <f t="array" aca="1" ref="F36" ca="1">MAX(INDEX(P_HS_01,MATCH($C36,IN_Admin2,0)),
IF(INDEX(P_HS_02,MATCH($C36,IN_Admin2,0))="",0,INDEX(P_HS_02,MATCH($C36,IN_Admin2,0))),
IF(INDEX(P_HS_06a,MATCH($C36,IN_Admin2,0))="",0,INDEX(P_HS_06a,MATCH($C36,IN_Admin2,0))),
IF(INDEX(P_HS_06b,MATCH($C36,IN_Admin2,0))="",0,INDEX(P_HS_06b,MATCH($C36,IN_Admin2,0))),
IF(INDEX(P_HS_06c,MATCH($C36,IN_Admin2,0))="",0,INDEX(P_HS_06c,MATCH($C36,IN_Admin2,0))))</f>
        <v>30685.8</v>
      </c>
      <c r="G36" s="6">
        <f t="shared" ca="1" si="2"/>
        <v>45691</v>
      </c>
      <c r="H36" s="6">
        <f ca="1">IF(SUM(AVERAGE(Calculator!W37:Z37)*ScoreCard!$E$26,
AVERAGE(Calculator!AB37:AI37)*ScoreCard!$F$26,
AVERAGE(Calculator!AK37:AL37)*ScoreCard!$G$26)
&gt;
MAX(Calculator!AN68),
SUM(AVERAGE(Calculator!W37:Z37)*ScoreCard!$E$26,
AVERAGE(Calculator!AB37:AI37)*ScoreCard!$F$26,
AVERAGE(Calculator!AK37:AL37)*ScoreCard!$G$26),
MAX(Calculator!AN68))</f>
        <v>3.4325000000000001</v>
      </c>
      <c r="I36" s="5"/>
      <c r="J36" s="5"/>
      <c r="K36" s="5"/>
    </row>
    <row r="37" spans="2:11" x14ac:dyDescent="0.4">
      <c r="B37" s="4" t="str">
        <f>Population_Input!A37</f>
        <v>Lindon</v>
      </c>
      <c r="C37" s="4" t="str">
        <f>Population_Input!B37</f>
        <v>Ered Luin</v>
      </c>
      <c r="D37" s="93">
        <f t="shared" si="3"/>
        <v>62581</v>
      </c>
      <c r="E37" s="6">
        <f t="shared" ref="E37:E60" ca="1" si="4">MAX(IF(INDEX(P_HR_01,MATCH($C37,IN_Admin2,0))="",0,INDEX(P_HR_01,MATCH($C37,IN_Admin2,0))),
IF(INDEX(P_HR_06,MATCH($C37,IN_Admin2,0))="",0,INDEX(P_HR_06,MATCH($C37,IN_Admin2,0))),
IF(INDEX(P_HR_07,MATCH($C37,IN_Admin2,0))="",0,INDEX(P_HR_07,MATCH($C37,IN_Admin2,0))),
IF(INDEX(P_HR_08,MATCH($C37,IN_Admin2,0))="",0,INDEX(P_HR_08,MATCH($C37,IN_Admin2,0))),
IF(INDEX(P_HR_12,MATCH($C37,IN_Admin2,0))="",0,INDEX(P_HR_12,MATCH($C37,IN_Admin2,0))),
IF(INDEX(P_HR_13,MATCH($C37,IN_Admin2,0))="",0,INDEX(P_HR_13,MATCH($C37,IN_Admin2,0))),
IF(INDEX(P_HR_14,MATCH($C37,IN_Admin2,0))="",0,INDEX(P_HR_14,MATCH($C37,IN_Admin2,0))),
IF(INDEX(P_HR_18,MATCH($C37,IN_Admin2,0))="",0,INDEX(P_HR_18,MATCH($C37,IN_Admin2,0))))</f>
        <v>62581</v>
      </c>
      <c r="F37" s="6" cm="1">
        <f t="array" aca="1" ref="F37" ca="1">MAX(INDEX(P_HS_01,MATCH($C37,IN_Admin2,0)),
IF(INDEX(P_HS_02,MATCH($C37,IN_Admin2,0))="",0,INDEX(P_HS_02,MATCH($C37,IN_Admin2,0))),
IF(INDEX(P_HS_06a,MATCH($C37,IN_Admin2,0))="",0,INDEX(P_HS_06a,MATCH($C37,IN_Admin2,0))),
IF(INDEX(P_HS_06b,MATCH($C37,IN_Admin2,0))="",0,INDEX(P_HS_06b,MATCH($C37,IN_Admin2,0))),
IF(INDEX(P_HS_06c,MATCH($C37,IN_Admin2,0))="",0,INDEX(P_HS_06c,MATCH($C37,IN_Admin2,0))))</f>
        <v>45684.13</v>
      </c>
      <c r="G37" s="6">
        <f t="shared" ca="1" si="2"/>
        <v>7837</v>
      </c>
      <c r="H37" s="6">
        <f ca="1">IF(SUM(AVERAGE(Calculator!W38:Z38)*ScoreCard!$E$26,
AVERAGE(Calculator!AB38:AI38)*ScoreCard!$F$26,
AVERAGE(Calculator!AK38:AL38)*ScoreCard!$G$26)
&gt;
MAX(Calculator!AN69),
SUM(AVERAGE(Calculator!W38:Z38)*ScoreCard!$E$26,
AVERAGE(Calculator!AB38:AI38)*ScoreCard!$F$26,
AVERAGE(Calculator!AK38:AL38)*ScoreCard!$G$26),
MAX(Calculator!AN69))</f>
        <v>3.9050000000000002</v>
      </c>
      <c r="I37" s="5"/>
      <c r="J37" s="5"/>
      <c r="K37" s="5"/>
    </row>
    <row r="38" spans="2:11" x14ac:dyDescent="0.4">
      <c r="B38" s="4" t="str">
        <f>Population_Input!A38</f>
        <v>Lindon</v>
      </c>
      <c r="C38" s="4" t="str">
        <f>Population_Input!B38</f>
        <v>Forlindon</v>
      </c>
      <c r="D38" s="93">
        <f t="shared" si="3"/>
        <v>3972</v>
      </c>
      <c r="E38" s="6">
        <f t="shared" ca="1" si="4"/>
        <v>794.40000000000032</v>
      </c>
      <c r="F38" s="6" cm="1">
        <f t="array" aca="1" ref="F38" ca="1">MAX(INDEX(P_HS_01,MATCH($C38,IN_Admin2,0)),
IF(INDEX(P_HS_02,MATCH($C38,IN_Admin2,0))="",0,INDEX(P_HS_02,MATCH($C38,IN_Admin2,0))),
IF(INDEX(P_HS_06a,MATCH($C38,IN_Admin2,0))="",0,INDEX(P_HS_06a,MATCH($C38,IN_Admin2,0))),
IF(INDEX(P_HS_06b,MATCH($C38,IN_Admin2,0))="",0,INDEX(P_HS_06b,MATCH($C38,IN_Admin2,0))),
IF(INDEX(P_HS_06c,MATCH($C38,IN_Admin2,0))="",0,INDEX(P_HS_06c,MATCH($C38,IN_Admin2,0))))</f>
        <v>2621.52</v>
      </c>
      <c r="G38" s="6">
        <f t="shared" ca="1" si="2"/>
        <v>1717</v>
      </c>
      <c r="H38" s="6">
        <f ca="1">IF(SUM(AVERAGE(Calculator!W39:Z39)*ScoreCard!$E$26,
AVERAGE(Calculator!AB39:AI39)*ScoreCard!$F$26,
AVERAGE(Calculator!AK39:AL39)*ScoreCard!$G$26)
&gt;
MAX(Calculator!AN70),
SUM(AVERAGE(Calculator!W39:Z39)*ScoreCard!$E$26,
AVERAGE(Calculator!AB39:AI39)*ScoreCard!$F$26,
AVERAGE(Calculator!AK39:AL39)*ScoreCard!$G$26),
MAX(Calculator!AN70))</f>
        <v>2.375</v>
      </c>
      <c r="I38" s="5"/>
      <c r="J38" s="5"/>
      <c r="K38" s="5"/>
    </row>
    <row r="39" spans="2:11" x14ac:dyDescent="0.4">
      <c r="B39" s="4" t="str">
        <f>Population_Input!A39</f>
        <v>Lindon</v>
      </c>
      <c r="C39" s="4" t="str">
        <f>Population_Input!B39</f>
        <v>Harlindon</v>
      </c>
      <c r="D39" s="93">
        <f t="shared" si="3"/>
        <v>95427</v>
      </c>
      <c r="E39" s="6">
        <f t="shared" ca="1" si="4"/>
        <v>95427</v>
      </c>
      <c r="F39" s="6" cm="1">
        <f t="array" aca="1" ref="F39" ca="1">MAX(INDEX(P_HS_01,MATCH($C39,IN_Admin2,0)),
IF(INDEX(P_HS_02,MATCH($C39,IN_Admin2,0))="",0,INDEX(P_HS_02,MATCH($C39,IN_Admin2,0))),
IF(INDEX(P_HS_06a,MATCH($C39,IN_Admin2,0))="",0,INDEX(P_HS_06a,MATCH($C39,IN_Admin2,0))),
IF(INDEX(P_HS_06b,MATCH($C39,IN_Admin2,0))="",0,INDEX(P_HS_06b,MATCH($C39,IN_Admin2,0))),
IF(INDEX(P_HS_06c,MATCH($C39,IN_Admin2,0))="",0,INDEX(P_HS_06c,MATCH($C39,IN_Admin2,0))))</f>
        <v>46759.229999999996</v>
      </c>
      <c r="G39" s="6">
        <f t="shared" ca="1" si="2"/>
        <v>69064</v>
      </c>
      <c r="H39" s="6">
        <f ca="1">IF(SUM(AVERAGE(Calculator!W40:Z40)*ScoreCard!$E$26,
AVERAGE(Calculator!AB40:AI40)*ScoreCard!$F$26,
AVERAGE(Calculator!AK40:AL40)*ScoreCard!$G$26)
&gt;
MAX(Calculator!AN71),
SUM(AVERAGE(Calculator!W40:Z40)*ScoreCard!$E$26,
AVERAGE(Calculator!AB40:AI40)*ScoreCard!$F$26,
AVERAGE(Calculator!AK40:AL40)*ScoreCard!$G$26),
MAX(Calculator!AN71))</f>
        <v>3.1924999999999999</v>
      </c>
      <c r="I39" s="5"/>
      <c r="J39" s="5"/>
      <c r="K39" s="5"/>
    </row>
    <row r="40" spans="2:11" x14ac:dyDescent="0.4">
      <c r="B40" s="4" t="str">
        <f>Population_Input!A40</f>
        <v>Mordor</v>
      </c>
      <c r="C40" s="4" t="str">
        <f>Population_Input!B40</f>
        <v>Gorgoroth</v>
      </c>
      <c r="D40" s="93">
        <f t="shared" si="3"/>
        <v>59836</v>
      </c>
      <c r="E40" s="6">
        <f t="shared" ca="1" si="4"/>
        <v>59836</v>
      </c>
      <c r="F40" s="6" cm="1">
        <f t="array" aca="1" ref="F40" ca="1">MAX(INDEX(P_HS_01,MATCH($C40,IN_Admin2,0)),
IF(INDEX(P_HS_02,MATCH($C40,IN_Admin2,0))="",0,INDEX(P_HS_02,MATCH($C40,IN_Admin2,0))),
IF(INDEX(P_HS_06a,MATCH($C40,IN_Admin2,0))="",0,INDEX(P_HS_06a,MATCH($C40,IN_Admin2,0))),
IF(INDEX(P_HS_06b,MATCH($C40,IN_Admin2,0))="",0,INDEX(P_HS_06b,MATCH($C40,IN_Admin2,0))),
IF(INDEX(P_HS_06c,MATCH($C40,IN_Admin2,0))="",0,INDEX(P_HS_06c,MATCH($C40,IN_Admin2,0))))</f>
        <v>26926.199999999997</v>
      </c>
      <c r="G40" s="6">
        <f t="shared" ca="1" si="2"/>
        <v>6130</v>
      </c>
      <c r="H40" s="6">
        <f ca="1">IF(SUM(AVERAGE(Calculator!W41:Z41)*ScoreCard!$E$26,
AVERAGE(Calculator!AB41:AI41)*ScoreCard!$F$26,
AVERAGE(Calculator!AK41:AL41)*ScoreCard!$G$26)
&gt;
MAX(Calculator!AN72),
SUM(AVERAGE(Calculator!W41:Z41)*ScoreCard!$E$26,
AVERAGE(Calculator!AB41:AI41)*ScoreCard!$F$26,
AVERAGE(Calculator!AK41:AL41)*ScoreCard!$G$26),
MAX(Calculator!AN72))</f>
        <v>3.605</v>
      </c>
      <c r="I40" s="5"/>
      <c r="J40" s="5"/>
      <c r="K40" s="5"/>
    </row>
    <row r="41" spans="2:11" x14ac:dyDescent="0.4">
      <c r="B41" s="4" t="str">
        <f>Population_Input!A41</f>
        <v>Mordor</v>
      </c>
      <c r="C41" s="4" t="str">
        <f>Population_Input!B41</f>
        <v>Lithlad</v>
      </c>
      <c r="D41" s="93">
        <f t="shared" si="3"/>
        <v>9936</v>
      </c>
      <c r="E41" s="6">
        <f t="shared" ca="1" si="4"/>
        <v>5936</v>
      </c>
      <c r="F41" s="6" cm="1">
        <f t="array" aca="1" ref="F41" ca="1">MAX(INDEX(P_HS_01,MATCH($C41,IN_Admin2,0)),
IF(INDEX(P_HS_02,MATCH($C41,IN_Admin2,0))="",0,INDEX(P_HS_02,MATCH($C41,IN_Admin2,0))),
IF(INDEX(P_HS_06a,MATCH($C41,IN_Admin2,0))="",0,INDEX(P_HS_06a,MATCH($C41,IN_Admin2,0))),
IF(INDEX(P_HS_06b,MATCH($C41,IN_Admin2,0))="",0,INDEX(P_HS_06b,MATCH($C41,IN_Admin2,0))),
IF(INDEX(P_HS_06c,MATCH($C41,IN_Admin2,0))="",0,INDEX(P_HS_06c,MATCH($C41,IN_Admin2,0))))</f>
        <v>7948.8</v>
      </c>
      <c r="G41" s="6">
        <f t="shared" ca="1" si="2"/>
        <v>5017</v>
      </c>
      <c r="H41" s="6">
        <f ca="1">IF(SUM(AVERAGE(Calculator!W42:Z42)*ScoreCard!$E$26,
AVERAGE(Calculator!AB42:AI42)*ScoreCard!$F$26,
AVERAGE(Calculator!AK42:AL42)*ScoreCard!$G$26)
&gt;
MAX(Calculator!AN73),
SUM(AVERAGE(Calculator!W42:Z42)*ScoreCard!$E$26,
AVERAGE(Calculator!AB42:AI42)*ScoreCard!$F$26,
AVERAGE(Calculator!AK42:AL42)*ScoreCard!$G$26),
MAX(Calculator!AN73))</f>
        <v>3.0550000000000002</v>
      </c>
      <c r="I41" s="5"/>
      <c r="J41" s="5"/>
      <c r="K41" s="5"/>
    </row>
    <row r="42" spans="2:11" x14ac:dyDescent="0.4">
      <c r="B42" s="4" t="str">
        <f>Population_Input!A42</f>
        <v>Mordor</v>
      </c>
      <c r="C42" s="4" t="str">
        <f>Population_Input!B42</f>
        <v>Nurn</v>
      </c>
      <c r="D42" s="93">
        <f t="shared" si="3"/>
        <v>14833</v>
      </c>
      <c r="E42" s="6">
        <f t="shared" ca="1" si="4"/>
        <v>10086.44</v>
      </c>
      <c r="F42" s="6" cm="1">
        <f t="array" aca="1" ref="F42" ca="1">MAX(INDEX(P_HS_01,MATCH($C42,IN_Admin2,0)),
IF(INDEX(P_HS_02,MATCH($C42,IN_Admin2,0))="",0,INDEX(P_HS_02,MATCH($C42,IN_Admin2,0))),
IF(INDEX(P_HS_06a,MATCH($C42,IN_Admin2,0))="",0,INDEX(P_HS_06a,MATCH($C42,IN_Admin2,0))),
IF(INDEX(P_HS_06b,MATCH($C42,IN_Admin2,0))="",0,INDEX(P_HS_06b,MATCH($C42,IN_Admin2,0))),
IF(INDEX(P_HS_06c,MATCH($C42,IN_Admin2,0))="",0,INDEX(P_HS_06c,MATCH($C42,IN_Admin2,0))))</f>
        <v>12014.73</v>
      </c>
      <c r="G42" s="6">
        <f t="shared" ca="1" si="2"/>
        <v>5827</v>
      </c>
      <c r="H42" s="6">
        <f ca="1">IF(SUM(AVERAGE(Calculator!W43:Z43)*ScoreCard!$E$26,
AVERAGE(Calculator!AB43:AI43)*ScoreCard!$F$26,
AVERAGE(Calculator!AK43:AL43)*ScoreCard!$G$26)
&gt;
MAX(Calculator!AN74),
SUM(AVERAGE(Calculator!W43:Z43)*ScoreCard!$E$26,
AVERAGE(Calculator!AB43:AI43)*ScoreCard!$F$26,
AVERAGE(Calculator!AK43:AL43)*ScoreCard!$G$26),
MAX(Calculator!AN74))</f>
        <v>3.4050000000000002</v>
      </c>
      <c r="I42" s="5"/>
      <c r="J42" s="5"/>
      <c r="K42" s="5"/>
    </row>
    <row r="43" spans="2:11" x14ac:dyDescent="0.4">
      <c r="B43" s="4" t="str">
        <f>Population_Input!A43</f>
        <v>Mordor</v>
      </c>
      <c r="C43" s="4" t="str">
        <f>Population_Input!B43</f>
        <v>Udun</v>
      </c>
      <c r="D43" s="93">
        <f t="shared" si="3"/>
        <v>4758</v>
      </c>
      <c r="E43" s="6">
        <f t="shared" ca="1" si="4"/>
        <v>570.95999999999992</v>
      </c>
      <c r="F43" s="6" cm="1">
        <f t="array" aca="1" ref="F43" ca="1">MAX(INDEX(P_HS_01,MATCH($C43,IN_Admin2,0)),
IF(INDEX(P_HS_02,MATCH($C43,IN_Admin2,0))="",0,INDEX(P_HS_02,MATCH($C43,IN_Admin2,0))),
IF(INDEX(P_HS_06a,MATCH($C43,IN_Admin2,0))="",0,INDEX(P_HS_06a,MATCH($C43,IN_Admin2,0))),
IF(INDEX(P_HS_06b,MATCH($C43,IN_Admin2,0))="",0,INDEX(P_HS_06b,MATCH($C43,IN_Admin2,0))),
IF(INDEX(P_HS_06c,MATCH($C43,IN_Admin2,0))="",0,INDEX(P_HS_06c,MATCH($C43,IN_Admin2,0))))</f>
        <v>2616.8999999999996</v>
      </c>
      <c r="G43" s="6">
        <f t="shared" ca="1" si="2"/>
        <v>2772</v>
      </c>
      <c r="H43" s="6">
        <f ca="1">IF(SUM(AVERAGE(Calculator!W44:Z44)*ScoreCard!$E$26,
AVERAGE(Calculator!AB44:AI44)*ScoreCard!$F$26,
AVERAGE(Calculator!AK44:AL44)*ScoreCard!$G$26)
&gt;
MAX(Calculator!AN75),
SUM(AVERAGE(Calculator!W44:Z44)*ScoreCard!$E$26,
AVERAGE(Calculator!AB44:AI44)*ScoreCard!$F$26,
AVERAGE(Calculator!AK44:AL44)*ScoreCard!$G$26),
MAX(Calculator!AN75))</f>
        <v>2.8174999999999999</v>
      </c>
      <c r="I43" s="5"/>
      <c r="J43" s="5"/>
      <c r="K43" s="5"/>
    </row>
    <row r="44" spans="2:11" x14ac:dyDescent="0.4">
      <c r="B44" s="4" t="str">
        <f>Population_Input!A44</f>
        <v>Rhovanion</v>
      </c>
      <c r="C44" s="4" t="str">
        <f>Population_Input!B44</f>
        <v>Dol Guldur</v>
      </c>
      <c r="D44" s="93">
        <f t="shared" si="3"/>
        <v>21688</v>
      </c>
      <c r="E44" s="6">
        <f t="shared" ca="1" si="4"/>
        <v>15576.888888888889</v>
      </c>
      <c r="F44" s="6" cm="1">
        <f t="array" aca="1" ref="F44" ca="1">MAX(INDEX(P_HS_01,MATCH($C44,IN_Admin2,0)),
IF(INDEX(P_HS_02,MATCH($C44,IN_Admin2,0))="",0,INDEX(P_HS_02,MATCH($C44,IN_Admin2,0))),
IF(INDEX(P_HS_06a,MATCH($C44,IN_Admin2,0))="",0,INDEX(P_HS_06a,MATCH($C44,IN_Admin2,0))),
IF(INDEX(P_HS_06b,MATCH($C44,IN_Admin2,0))="",0,INDEX(P_HS_06b,MATCH($C44,IN_Admin2,0))),
IF(INDEX(P_HS_06c,MATCH($C44,IN_Admin2,0))="",0,INDEX(P_HS_06c,MATCH($C44,IN_Admin2,0))))</f>
        <v>10844</v>
      </c>
      <c r="G44" s="6">
        <f t="shared" ca="1" si="2"/>
        <v>686</v>
      </c>
      <c r="H44" s="6">
        <f ca="1">IF(SUM(AVERAGE(Calculator!W45:Z45)*ScoreCard!$E$26,
AVERAGE(Calculator!AB45:AI45)*ScoreCard!$F$26,
AVERAGE(Calculator!AK45:AL45)*ScoreCard!$G$26)
&gt;
MAX(Calculator!AN76),
SUM(AVERAGE(Calculator!W45:Z45)*ScoreCard!$E$26,
AVERAGE(Calculator!AB45:AI45)*ScoreCard!$F$26,
AVERAGE(Calculator!AK45:AL45)*ScoreCard!$G$26),
MAX(Calculator!AN76))</f>
        <v>3.3475000000000001</v>
      </c>
      <c r="I44" s="5"/>
      <c r="J44" s="5"/>
      <c r="K44" s="5"/>
    </row>
    <row r="45" spans="2:11" x14ac:dyDescent="0.4">
      <c r="B45" s="4" t="str">
        <f>Population_Input!A45</f>
        <v>Rhovanion</v>
      </c>
      <c r="C45" s="4" t="str">
        <f>Population_Input!B45</f>
        <v>Iron Hills</v>
      </c>
      <c r="D45" s="93">
        <f t="shared" si="3"/>
        <v>81820</v>
      </c>
      <c r="E45" s="6">
        <f t="shared" ca="1" si="4"/>
        <v>81820</v>
      </c>
      <c r="F45" s="6" cm="1">
        <f t="array" aca="1" ref="F45" ca="1">MAX(INDEX(P_HS_01,MATCH($C45,IN_Admin2,0)),
IF(INDEX(P_HS_02,MATCH($C45,IN_Admin2,0))="",0,INDEX(P_HS_02,MATCH($C45,IN_Admin2,0))),
IF(INDEX(P_HS_06a,MATCH($C45,IN_Admin2,0))="",0,INDEX(P_HS_06a,MATCH($C45,IN_Admin2,0))),
IF(INDEX(P_HS_06b,MATCH($C45,IN_Admin2,0))="",0,INDEX(P_HS_06b,MATCH($C45,IN_Admin2,0))),
IF(INDEX(P_HS_06c,MATCH($C45,IN_Admin2,0))="",0,INDEX(P_HS_06c,MATCH($C45,IN_Admin2,0))))</f>
        <v>52364.800000000003</v>
      </c>
      <c r="G45" s="6">
        <f t="shared" ca="1" si="2"/>
        <v>36270</v>
      </c>
      <c r="H45" s="6">
        <f ca="1">IF(SUM(AVERAGE(Calculator!W46:Z46)*ScoreCard!$E$26,
AVERAGE(Calculator!AB46:AI46)*ScoreCard!$F$26,
AVERAGE(Calculator!AK46:AL46)*ScoreCard!$G$26)
&gt;
MAX(Calculator!AN77),
SUM(AVERAGE(Calculator!W46:Z46)*ScoreCard!$E$26,
AVERAGE(Calculator!AB46:AI46)*ScoreCard!$F$26,
AVERAGE(Calculator!AK46:AL46)*ScoreCard!$G$26),
MAX(Calculator!AN77))</f>
        <v>3.2774999999999999</v>
      </c>
      <c r="I45" s="5"/>
      <c r="J45" s="5"/>
      <c r="K45" s="5"/>
    </row>
    <row r="46" spans="2:11" x14ac:dyDescent="0.4">
      <c r="B46" s="4" t="str">
        <f>Population_Input!A46</f>
        <v>Rhovanion</v>
      </c>
      <c r="C46" s="4" t="str">
        <f>Population_Input!B46</f>
        <v>Khazad-dum</v>
      </c>
      <c r="D46" s="93">
        <f t="shared" si="3"/>
        <v>23509</v>
      </c>
      <c r="E46" s="6">
        <f t="shared" ca="1" si="4"/>
        <v>3526.3500000000004</v>
      </c>
      <c r="F46" s="6" cm="1">
        <f t="array" aca="1" ref="F46" ca="1">MAX(INDEX(P_HS_01,MATCH($C46,IN_Admin2,0)),
IF(INDEX(P_HS_02,MATCH($C46,IN_Admin2,0))="",0,INDEX(P_HS_02,MATCH($C46,IN_Admin2,0))),
IF(INDEX(P_HS_06a,MATCH($C46,IN_Admin2,0))="",0,INDEX(P_HS_06a,MATCH($C46,IN_Admin2,0))),
IF(INDEX(P_HS_06b,MATCH($C46,IN_Admin2,0))="",0,INDEX(P_HS_06b,MATCH($C46,IN_Admin2,0))),
IF(INDEX(P_HS_06c,MATCH($C46,IN_Admin2,0))="",0,INDEX(P_HS_06c,MATCH($C46,IN_Admin2,0))))</f>
        <v>16691.39</v>
      </c>
      <c r="G46" s="6">
        <f t="shared" ca="1" si="2"/>
        <v>3723</v>
      </c>
      <c r="H46" s="6">
        <f ca="1">IF(SUM(AVERAGE(Calculator!W47:Z47)*ScoreCard!$E$26,
AVERAGE(Calculator!AB47:AI47)*ScoreCard!$F$26,
AVERAGE(Calculator!AK47:AL47)*ScoreCard!$G$26)
&gt;
MAX(Calculator!AN78),
SUM(AVERAGE(Calculator!W47:Z47)*ScoreCard!$E$26,
AVERAGE(Calculator!AB47:AI47)*ScoreCard!$F$26,
AVERAGE(Calculator!AK47:AL47)*ScoreCard!$G$26),
MAX(Calculator!AN78))</f>
        <v>2.3849999999999998</v>
      </c>
      <c r="I46" s="5"/>
      <c r="J46" s="5"/>
      <c r="K46" s="5"/>
    </row>
    <row r="47" spans="2:11" x14ac:dyDescent="0.4">
      <c r="B47" s="4" t="str">
        <f>Population_Input!A47</f>
        <v>Rhovanion</v>
      </c>
      <c r="C47" s="4" t="str">
        <f>Population_Input!B47</f>
        <v>Kingdom of Dale</v>
      </c>
      <c r="D47" s="93">
        <f t="shared" si="3"/>
        <v>19709</v>
      </c>
      <c r="E47" s="6">
        <f t="shared" ca="1" si="4"/>
        <v>19709</v>
      </c>
      <c r="F47" s="6" cm="1">
        <f t="array" aca="1" ref="F47" ca="1">MAX(INDEX(P_HS_01,MATCH($C47,IN_Admin2,0)),
IF(INDEX(P_HS_02,MATCH($C47,IN_Admin2,0))="",0,INDEX(P_HS_02,MATCH($C47,IN_Admin2,0))),
IF(INDEX(P_HS_06a,MATCH($C47,IN_Admin2,0))="",0,INDEX(P_HS_06a,MATCH($C47,IN_Admin2,0))),
IF(INDEX(P_HS_06b,MATCH($C47,IN_Admin2,0))="",0,INDEX(P_HS_06b,MATCH($C47,IN_Admin2,0))),
IF(INDEX(P_HS_06c,MATCH($C47,IN_Admin2,0))="",0,INDEX(P_HS_06c,MATCH($C47,IN_Admin2,0))))</f>
        <v>11037.04</v>
      </c>
      <c r="G47" s="6">
        <f t="shared" ca="1" si="2"/>
        <v>5229</v>
      </c>
      <c r="H47" s="6">
        <f ca="1">IF(SUM(AVERAGE(Calculator!W48:Z48)*ScoreCard!$E$26,
AVERAGE(Calculator!AB48:AI48)*ScoreCard!$F$26,
AVERAGE(Calculator!AK48:AL48)*ScoreCard!$G$26)
&gt;
MAX(Calculator!AN79),
SUM(AVERAGE(Calculator!W48:Z48)*ScoreCard!$E$26,
AVERAGE(Calculator!AB48:AI48)*ScoreCard!$F$26,
AVERAGE(Calculator!AK48:AL48)*ScoreCard!$G$26),
MAX(Calculator!AN79))</f>
        <v>3.2549999999999999</v>
      </c>
      <c r="I47" s="5"/>
      <c r="J47" s="5"/>
      <c r="K47" s="5"/>
    </row>
    <row r="48" spans="2:11" x14ac:dyDescent="0.4">
      <c r="B48" s="4" t="str">
        <f>Population_Input!A48</f>
        <v>Rhovanion</v>
      </c>
      <c r="C48" s="4" t="str">
        <f>Population_Input!B48</f>
        <v>Lonely Mountain</v>
      </c>
      <c r="D48" s="93">
        <f t="shared" si="3"/>
        <v>12134</v>
      </c>
      <c r="E48" s="6">
        <f t="shared" ca="1" si="4"/>
        <v>3154.84</v>
      </c>
      <c r="F48" s="6" cm="1">
        <f t="array" aca="1" ref="F48" ca="1">MAX(INDEX(P_HS_01,MATCH($C48,IN_Admin2,0)),
IF(INDEX(P_HS_02,MATCH($C48,IN_Admin2,0))="",0,INDEX(P_HS_02,MATCH($C48,IN_Admin2,0))),
IF(INDEX(P_HS_06a,MATCH($C48,IN_Admin2,0))="",0,INDEX(P_HS_06a,MATCH($C48,IN_Admin2,0))),
IF(INDEX(P_HS_06b,MATCH($C48,IN_Admin2,0))="",0,INDEX(P_HS_06b,MATCH($C48,IN_Admin2,0))),
IF(INDEX(P_HS_06c,MATCH($C48,IN_Admin2,0))="",0,INDEX(P_HS_06c,MATCH($C48,IN_Admin2,0))))</f>
        <v>8372.4600000000009</v>
      </c>
      <c r="G48" s="6">
        <f t="shared" ca="1" si="2"/>
        <v>1632</v>
      </c>
      <c r="H48" s="6">
        <f ca="1">IF(SUM(AVERAGE(Calculator!W49:Z49)*ScoreCard!$E$26,
AVERAGE(Calculator!AB49:AI49)*ScoreCard!$F$26,
AVERAGE(Calculator!AK49:AL49)*ScoreCard!$G$26)
&gt;
MAX(Calculator!AN80),
SUM(AVERAGE(Calculator!W49:Z49)*ScoreCard!$E$26,
AVERAGE(Calculator!AB49:AI49)*ScoreCard!$F$26,
AVERAGE(Calculator!AK49:AL49)*ScoreCard!$G$26),
MAX(Calculator!AN80))</f>
        <v>3.37</v>
      </c>
      <c r="I48" s="5"/>
      <c r="J48" s="5"/>
      <c r="K48" s="5"/>
    </row>
    <row r="49" spans="2:11" x14ac:dyDescent="0.4">
      <c r="B49" s="4" t="str">
        <f>Population_Input!A49</f>
        <v>Rhovanion</v>
      </c>
      <c r="C49" s="4" t="str">
        <f>Population_Input!B49</f>
        <v>Lothlorien</v>
      </c>
      <c r="D49" s="93">
        <f t="shared" si="3"/>
        <v>53846</v>
      </c>
      <c r="E49" s="6">
        <f t="shared" ca="1" si="4"/>
        <v>39401.555555555555</v>
      </c>
      <c r="F49" s="6" cm="1">
        <f t="array" aca="1" ref="F49" ca="1">MAX(INDEX(P_HS_01,MATCH($C49,IN_Admin2,0)),
IF(INDEX(P_HS_02,MATCH($C49,IN_Admin2,0))="",0,INDEX(P_HS_02,MATCH($C49,IN_Admin2,0))),
IF(INDEX(P_HS_06a,MATCH($C49,IN_Admin2,0))="",0,INDEX(P_HS_06a,MATCH($C49,IN_Admin2,0))),
IF(INDEX(P_HS_06b,MATCH($C49,IN_Admin2,0))="",0,INDEX(P_HS_06b,MATCH($C49,IN_Admin2,0))),
IF(INDEX(P_HS_06c,MATCH($C49,IN_Admin2,0))="",0,INDEX(P_HS_06c,MATCH($C49,IN_Admin2,0))))</f>
        <v>34999.9</v>
      </c>
      <c r="G49" s="6">
        <f t="shared" ca="1" si="2"/>
        <v>9460</v>
      </c>
      <c r="H49" s="6">
        <f ca="1">IF(SUM(AVERAGE(Calculator!W50:Z50)*ScoreCard!$E$26,
AVERAGE(Calculator!AB50:AI50)*ScoreCard!$F$26,
AVERAGE(Calculator!AK50:AL50)*ScoreCard!$G$26)
&gt;
MAX(Calculator!AN81),
SUM(AVERAGE(Calculator!W50:Z50)*ScoreCard!$E$26,
AVERAGE(Calculator!AB50:AI50)*ScoreCard!$F$26,
AVERAGE(Calculator!AK50:AL50)*ScoreCard!$G$26),
MAX(Calculator!AN81))</f>
        <v>3.21</v>
      </c>
      <c r="I49" s="5"/>
      <c r="J49" s="5"/>
      <c r="K49" s="5"/>
    </row>
    <row r="50" spans="2:11" x14ac:dyDescent="0.4">
      <c r="B50" s="4" t="str">
        <f>Population_Input!A50</f>
        <v>Rhovanion</v>
      </c>
      <c r="C50" s="4" t="str">
        <f>Population_Input!B50</f>
        <v>Woodland Realm</v>
      </c>
      <c r="D50" s="93">
        <f t="shared" si="3"/>
        <v>11728</v>
      </c>
      <c r="E50" s="6">
        <f t="shared" ca="1" si="4"/>
        <v>8092.3200000000006</v>
      </c>
      <c r="F50" s="6" cm="1">
        <f t="array" aca="1" ref="F50" ca="1">MAX(INDEX(P_HS_01,MATCH($C50,IN_Admin2,0)),
IF(INDEX(P_HS_02,MATCH($C50,IN_Admin2,0))="",0,INDEX(P_HS_02,MATCH($C50,IN_Admin2,0))),
IF(INDEX(P_HS_06a,MATCH($C50,IN_Admin2,0))="",0,INDEX(P_HS_06a,MATCH($C50,IN_Admin2,0))),
IF(INDEX(P_HS_06b,MATCH($C50,IN_Admin2,0))="",0,INDEX(P_HS_06b,MATCH($C50,IN_Admin2,0))),
IF(INDEX(P_HS_06c,MATCH($C50,IN_Admin2,0))="",0,INDEX(P_HS_06c,MATCH($C50,IN_Admin2,0))))</f>
        <v>9265.119999999999</v>
      </c>
      <c r="G50" s="6">
        <f t="shared" ca="1" si="2"/>
        <v>4774</v>
      </c>
      <c r="H50" s="6">
        <f ca="1">IF(SUM(AVERAGE(Calculator!W51:Z51)*ScoreCard!$E$26,
AVERAGE(Calculator!AB51:AI51)*ScoreCard!$F$26,
AVERAGE(Calculator!AK51:AL51)*ScoreCard!$G$26)
&gt;
MAX(Calculator!AN82),
SUM(AVERAGE(Calculator!W51:Z51)*ScoreCard!$E$26,
AVERAGE(Calculator!AB51:AI51)*ScoreCard!$F$26,
AVERAGE(Calculator!AK51:AL51)*ScoreCard!$G$26),
MAX(Calculator!AN82))</f>
        <v>2.8050000000000002</v>
      </c>
      <c r="I50" s="5"/>
      <c r="J50" s="5"/>
      <c r="K50" s="5"/>
    </row>
    <row r="51" spans="2:11" x14ac:dyDescent="0.4">
      <c r="B51" s="4" t="str">
        <f>Population_Input!A51</f>
        <v>Rhun</v>
      </c>
      <c r="C51" s="4" t="str">
        <f>Population_Input!B51</f>
        <v>Cuivienen</v>
      </c>
      <c r="D51" s="93">
        <f t="shared" si="3"/>
        <v>242197</v>
      </c>
      <c r="E51" s="6">
        <f t="shared" ca="1" si="4"/>
        <v>229974.77777777778</v>
      </c>
      <c r="F51" s="6" cm="1">
        <f t="array" aca="1" ref="F51" ca="1">MAX(INDEX(P_HS_01,MATCH($C51,IN_Admin2,0)),
IF(INDEX(P_HS_02,MATCH($C51,IN_Admin2,0))="",0,INDEX(P_HS_02,MATCH($C51,IN_Admin2,0))),
IF(INDEX(P_HS_06a,MATCH($C51,IN_Admin2,0))="",0,INDEX(P_HS_06a,MATCH($C51,IN_Admin2,0))),
IF(INDEX(P_HS_06b,MATCH($C51,IN_Admin2,0))="",0,INDEX(P_HS_06b,MATCH($C51,IN_Admin2,0))),
IF(INDEX(P_HS_06c,MATCH($C51,IN_Admin2,0))="",0,INDEX(P_HS_06c,MATCH($C51,IN_Admin2,0))))</f>
        <v>106566.68</v>
      </c>
      <c r="G51" s="6">
        <f t="shared" ca="1" si="2"/>
        <v>208277</v>
      </c>
      <c r="H51" s="6">
        <f ca="1">IF(SUM(AVERAGE(Calculator!W52:Z52)*ScoreCard!$E$26,
AVERAGE(Calculator!AB52:AI52)*ScoreCard!$F$26,
AVERAGE(Calculator!AK52:AL52)*ScoreCard!$G$26)
&gt;
MAX(Calculator!AN83),
SUM(AVERAGE(Calculator!W52:Z52)*ScoreCard!$E$26,
AVERAGE(Calculator!AB52:AI52)*ScoreCard!$F$26,
AVERAGE(Calculator!AK52:AL52)*ScoreCard!$G$26),
MAX(Calculator!AN83))</f>
        <v>3.0600000000000005</v>
      </c>
      <c r="I51" s="5"/>
      <c r="J51" s="5"/>
      <c r="K51" s="5"/>
    </row>
    <row r="52" spans="2:11" x14ac:dyDescent="0.4">
      <c r="B52" s="4" t="str">
        <f>Population_Input!A52</f>
        <v>Rhun</v>
      </c>
      <c r="C52" s="4" t="str">
        <f>Population_Input!B52</f>
        <v>Dorwinion</v>
      </c>
      <c r="D52" s="93">
        <f t="shared" si="3"/>
        <v>24754</v>
      </c>
      <c r="E52" s="6">
        <f t="shared" ca="1" si="4"/>
        <v>24754</v>
      </c>
      <c r="F52" s="6" cm="1">
        <f t="array" aca="1" ref="F52" ca="1">MAX(INDEX(P_HS_01,MATCH($C52,IN_Admin2,0)),
IF(INDEX(P_HS_02,MATCH($C52,IN_Admin2,0))="",0,INDEX(P_HS_02,MATCH($C52,IN_Admin2,0))),
IF(INDEX(P_HS_06a,MATCH($C52,IN_Admin2,0))="",0,INDEX(P_HS_06a,MATCH($C52,IN_Admin2,0))),
IF(INDEX(P_HS_06b,MATCH($C52,IN_Admin2,0))="",0,INDEX(P_HS_06b,MATCH($C52,IN_Admin2,0))),
IF(INDEX(P_HS_06c,MATCH($C52,IN_Admin2,0))="",0,INDEX(P_HS_06c,MATCH($C52,IN_Admin2,0))))</f>
        <v>18070.419999999998</v>
      </c>
      <c r="G52" s="6">
        <f t="shared" ca="1" si="2"/>
        <v>2049</v>
      </c>
      <c r="H52" s="6">
        <f ca="1">IF(SUM(AVERAGE(Calculator!W53:Z53)*ScoreCard!$E$26,
AVERAGE(Calculator!AB53:AI53)*ScoreCard!$F$26,
AVERAGE(Calculator!AK53:AL53)*ScoreCard!$G$26)
&gt;
MAX(Calculator!AN84),
SUM(AVERAGE(Calculator!W53:Z53)*ScoreCard!$E$26,
AVERAGE(Calculator!AB53:AI53)*ScoreCard!$F$26,
AVERAGE(Calculator!AK53:AL53)*ScoreCard!$G$26),
MAX(Calculator!AN84))</f>
        <v>3.0049999999999999</v>
      </c>
      <c r="I52" s="5"/>
      <c r="J52" s="5"/>
      <c r="K52" s="5"/>
    </row>
    <row r="53" spans="2:11" x14ac:dyDescent="0.4">
      <c r="B53" s="4" t="str">
        <f>Population_Input!A53</f>
        <v>Rhun</v>
      </c>
      <c r="C53" s="4" t="str">
        <f>Population_Input!B53</f>
        <v>Hildorien</v>
      </c>
      <c r="D53" s="93">
        <f t="shared" si="3"/>
        <v>20700</v>
      </c>
      <c r="E53" s="6">
        <f t="shared" ca="1" si="4"/>
        <v>8901.0000000000018</v>
      </c>
      <c r="F53" s="6" cm="1">
        <f t="array" aca="1" ref="F53" ca="1">MAX(INDEX(P_HS_01,MATCH($C53,IN_Admin2,0)),
IF(INDEX(P_HS_02,MATCH($C53,IN_Admin2,0))="",0,INDEX(P_HS_02,MATCH($C53,IN_Admin2,0))),
IF(INDEX(P_HS_06a,MATCH($C53,IN_Admin2,0))="",0,INDEX(P_HS_06a,MATCH($C53,IN_Admin2,0))),
IF(INDEX(P_HS_06b,MATCH($C53,IN_Admin2,0))="",0,INDEX(P_HS_06b,MATCH($C53,IN_Admin2,0))),
IF(INDEX(P_HS_06c,MATCH($C53,IN_Admin2,0))="",0,INDEX(P_HS_06c,MATCH($C53,IN_Admin2,0))))</f>
        <v>18423</v>
      </c>
      <c r="G53" s="6">
        <f t="shared" ca="1" si="2"/>
        <v>7458</v>
      </c>
      <c r="H53" s="6">
        <f ca="1">IF(SUM(AVERAGE(Calculator!W54:Z54)*ScoreCard!$E$26,
AVERAGE(Calculator!AB54:AI54)*ScoreCard!$F$26,
AVERAGE(Calculator!AK54:AL54)*ScoreCard!$G$26)
&gt;
MAX(Calculator!AN85),
SUM(AVERAGE(Calculator!W54:Z54)*ScoreCard!$E$26,
AVERAGE(Calculator!AB54:AI54)*ScoreCard!$F$26,
AVERAGE(Calculator!AK54:AL54)*ScoreCard!$G$26),
MAX(Calculator!AN85))</f>
        <v>3.1949999999999998</v>
      </c>
      <c r="I53" s="5"/>
      <c r="J53" s="5"/>
      <c r="K53" s="5"/>
    </row>
    <row r="54" spans="2:11" x14ac:dyDescent="0.4">
      <c r="B54" s="4" t="str">
        <f>Population_Input!A54</f>
        <v>Rhun</v>
      </c>
      <c r="C54" s="4" t="str">
        <f>Population_Input!B54</f>
        <v>Wild Wood</v>
      </c>
      <c r="D54" s="93">
        <f t="shared" si="3"/>
        <v>5750</v>
      </c>
      <c r="E54" s="6">
        <f t="shared" ca="1" si="4"/>
        <v>1725.0000000000002</v>
      </c>
      <c r="F54" s="6" cm="1">
        <f t="array" aca="1" ref="F54" ca="1">MAX(INDEX(P_HS_01,MATCH($C54,IN_Admin2,0)),
IF(INDEX(P_HS_02,MATCH($C54,IN_Admin2,0))="",0,INDEX(P_HS_02,MATCH($C54,IN_Admin2,0))),
IF(INDEX(P_HS_06a,MATCH($C54,IN_Admin2,0))="",0,INDEX(P_HS_06a,MATCH($C54,IN_Admin2,0))),
IF(INDEX(P_HS_06b,MATCH($C54,IN_Admin2,0))="",0,INDEX(P_HS_06b,MATCH($C54,IN_Admin2,0))),
IF(INDEX(P_HS_06c,MATCH($C54,IN_Admin2,0))="",0,INDEX(P_HS_06c,MATCH($C54,IN_Admin2,0))))</f>
        <v>4945</v>
      </c>
      <c r="G54" s="6">
        <f t="shared" ca="1" si="2"/>
        <v>4955</v>
      </c>
      <c r="H54" s="6">
        <f ca="1">IF(SUM(AVERAGE(Calculator!W55:Z55)*ScoreCard!$E$26,
AVERAGE(Calculator!AB55:AI55)*ScoreCard!$F$26,
AVERAGE(Calculator!AK55:AL55)*ScoreCard!$G$26)
&gt;
MAX(Calculator!AN86),
SUM(AVERAGE(Calculator!W55:Z55)*ScoreCard!$E$26,
AVERAGE(Calculator!AB55:AI55)*ScoreCard!$F$26,
AVERAGE(Calculator!AK55:AL55)*ScoreCard!$G$26),
MAX(Calculator!AN86))</f>
        <v>2.88</v>
      </c>
      <c r="I54" s="5"/>
      <c r="J54" s="5"/>
      <c r="K54" s="5"/>
    </row>
    <row r="55" spans="2:11" x14ac:dyDescent="0.4">
      <c r="B55" s="4" t="str">
        <f>Population_Input!A55</f>
        <v>Rohan</v>
      </c>
      <c r="C55" s="4" t="str">
        <f>Population_Input!B55</f>
        <v>Eastemnet</v>
      </c>
      <c r="D55" s="93">
        <f t="shared" si="3"/>
        <v>54439</v>
      </c>
      <c r="E55" s="6">
        <f t="shared" ca="1" si="4"/>
        <v>48439</v>
      </c>
      <c r="F55" s="6" cm="1">
        <f t="array" aca="1" ref="F55" ca="1">MAX(INDEX(P_HS_01,MATCH($C55,IN_Admin2,0)),
IF(INDEX(P_HS_02,MATCH($C55,IN_Admin2,0))="",0,INDEX(P_HS_02,MATCH($C55,IN_Admin2,0))),
IF(INDEX(P_HS_06a,MATCH($C55,IN_Admin2,0))="",0,INDEX(P_HS_06a,MATCH($C55,IN_Admin2,0))),
IF(INDEX(P_HS_06b,MATCH($C55,IN_Admin2,0))="",0,INDEX(P_HS_06b,MATCH($C55,IN_Admin2,0))),
IF(INDEX(P_HS_06c,MATCH($C55,IN_Admin2,0))="",0,INDEX(P_HS_06c,MATCH($C55,IN_Admin2,0))))</f>
        <v>34296.569999999992</v>
      </c>
      <c r="G55" s="6">
        <f t="shared" ca="1" si="2"/>
        <v>1253</v>
      </c>
      <c r="H55" s="6">
        <f ca="1">IF(SUM(AVERAGE(Calculator!W56:Z56)*ScoreCard!$E$26,
AVERAGE(Calculator!AB56:AI56)*ScoreCard!$F$26,
AVERAGE(Calculator!AK56:AL56)*ScoreCard!$G$26)
&gt;
MAX(Calculator!AN87),
SUM(AVERAGE(Calculator!W56:Z56)*ScoreCard!$E$26,
AVERAGE(Calculator!AB56:AI56)*ScoreCard!$F$26,
AVERAGE(Calculator!AK56:AL56)*ScoreCard!$G$26),
MAX(Calculator!AN87))</f>
        <v>2.8449999999999998</v>
      </c>
      <c r="I55" s="5"/>
      <c r="J55" s="5"/>
      <c r="K55" s="5"/>
    </row>
    <row r="56" spans="2:11" x14ac:dyDescent="0.4">
      <c r="B56" s="4" t="str">
        <f>Population_Input!A56</f>
        <v>Rohan</v>
      </c>
      <c r="C56" s="4" t="str">
        <f>Population_Input!B56</f>
        <v>Eastfold</v>
      </c>
      <c r="D56" s="93">
        <f t="shared" si="3"/>
        <v>9921</v>
      </c>
      <c r="E56" s="6">
        <f t="shared" ca="1" si="4"/>
        <v>9921</v>
      </c>
      <c r="F56" s="6" cm="1">
        <f t="array" aca="1" ref="F56" ca="1">MAX(INDEX(P_HS_01,MATCH($C56,IN_Admin2,0)),
IF(INDEX(P_HS_02,MATCH($C56,IN_Admin2,0))="",0,INDEX(P_HS_02,MATCH($C56,IN_Admin2,0))),
IF(INDEX(P_HS_06a,MATCH($C56,IN_Admin2,0))="",0,INDEX(P_HS_06a,MATCH($C56,IN_Admin2,0))),
IF(INDEX(P_HS_06b,MATCH($C56,IN_Admin2,0))="",0,INDEX(P_HS_06b,MATCH($C56,IN_Admin2,0))),
IF(INDEX(P_HS_06c,MATCH($C56,IN_Admin2,0))="",0,INDEX(P_HS_06c,MATCH($C56,IN_Admin2,0))))</f>
        <v>7143.12</v>
      </c>
      <c r="G56" s="6">
        <f t="shared" ca="1" si="2"/>
        <v>4979</v>
      </c>
      <c r="H56" s="6">
        <f ca="1">IF(SUM(AVERAGE(Calculator!W57:Z57)*ScoreCard!$E$26,
AVERAGE(Calculator!AB57:AI57)*ScoreCard!$F$26,
AVERAGE(Calculator!AK57:AL57)*ScoreCard!$G$26)
&gt;
MAX(Calculator!AN88),
SUM(AVERAGE(Calculator!W57:Z57)*ScoreCard!$E$26,
AVERAGE(Calculator!AB57:AI57)*ScoreCard!$F$26,
AVERAGE(Calculator!AK57:AL57)*ScoreCard!$G$26),
MAX(Calculator!AN88))</f>
        <v>2.56</v>
      </c>
      <c r="I56" s="5"/>
      <c r="J56" s="5"/>
      <c r="K56" s="5"/>
    </row>
    <row r="57" spans="2:11" x14ac:dyDescent="0.4">
      <c r="B57" s="4" t="str">
        <f>Population_Input!A57</f>
        <v>Rohan</v>
      </c>
      <c r="C57" s="4" t="str">
        <f>Population_Input!B57</f>
        <v>Folde</v>
      </c>
      <c r="D57" s="93">
        <f t="shared" ref="D57:D59" si="5">INDEX(Population,MATCH(C57,Admin2,0))</f>
        <v>9764</v>
      </c>
      <c r="E57" s="6">
        <f t="shared" ca="1" si="4"/>
        <v>6541.88</v>
      </c>
      <c r="F57" s="6" cm="1">
        <f t="array" aca="1" ref="F57" ca="1">MAX(INDEX(P_HS_01,MATCH($C57,IN_Admin2,0)),
IF(INDEX(P_HS_02,MATCH($C57,IN_Admin2,0))="",0,INDEX(P_HS_02,MATCH($C57,IN_Admin2,0))),
IF(INDEX(P_HS_06a,MATCH($C57,IN_Admin2,0))="",0,INDEX(P_HS_06a,MATCH($C57,IN_Admin2,0))),
IF(INDEX(P_HS_06b,MATCH($C57,IN_Admin2,0))="",0,INDEX(P_HS_06b,MATCH($C57,IN_Admin2,0))),
IF(INDEX(P_HS_06c,MATCH($C57,IN_Admin2,0))="",0,INDEX(P_HS_06c,MATCH($C57,IN_Admin2,0))))</f>
        <v>5565.4800000000005</v>
      </c>
      <c r="G57" s="6">
        <f t="shared" ca="1" si="2"/>
        <v>9351</v>
      </c>
      <c r="H57" s="6">
        <f ca="1">IF(SUM(AVERAGE(Calculator!W58:Z58)*ScoreCard!$E$26,
AVERAGE(Calculator!AB58:AI58)*ScoreCard!$F$26,
AVERAGE(Calculator!AK58:AL58)*ScoreCard!$G$26)
&gt;
MAX(Calculator!AN89),
SUM(AVERAGE(Calculator!W58:Z58)*ScoreCard!$E$26,
AVERAGE(Calculator!AB58:AI58)*ScoreCard!$F$26,
AVERAGE(Calculator!AK58:AL58)*ScoreCard!$G$26),
MAX(Calculator!AN89))</f>
        <v>2.66</v>
      </c>
      <c r="I57" s="5"/>
      <c r="J57" s="5"/>
      <c r="K57" s="5"/>
    </row>
    <row r="58" spans="2:11" x14ac:dyDescent="0.4">
      <c r="B58" s="4" t="str">
        <f>Population_Input!A58</f>
        <v>Rohan</v>
      </c>
      <c r="C58" s="4" t="str">
        <f>Population_Input!B58</f>
        <v>The Wold</v>
      </c>
      <c r="D58" s="93">
        <f t="shared" si="5"/>
        <v>6665</v>
      </c>
      <c r="E58" s="6">
        <f t="shared" ca="1" si="4"/>
        <v>6665</v>
      </c>
      <c r="F58" s="6" cm="1">
        <f t="array" aca="1" ref="F58" ca="1">MAX(INDEX(P_HS_01,MATCH($C58,IN_Admin2,0)),
IF(INDEX(P_HS_02,MATCH($C58,IN_Admin2,0))="",0,INDEX(P_HS_02,MATCH($C58,IN_Admin2,0))),
IF(INDEX(P_HS_06a,MATCH($C58,IN_Admin2,0))="",0,INDEX(P_HS_06a,MATCH($C58,IN_Admin2,0))),
IF(INDEX(P_HS_06b,MATCH($C58,IN_Admin2,0))="",0,INDEX(P_HS_06b,MATCH($C58,IN_Admin2,0))),
IF(INDEX(P_HS_06c,MATCH($C58,IN_Admin2,0))="",0,INDEX(P_HS_06c,MATCH($C58,IN_Admin2,0))))</f>
        <v>3665.7500000000005</v>
      </c>
      <c r="G58" s="6">
        <f t="shared" ca="1" si="2"/>
        <v>5135</v>
      </c>
      <c r="H58" s="6">
        <f ca="1">IF(SUM(AVERAGE(Calculator!W59:Z59)*ScoreCard!$E$26,
AVERAGE(Calculator!AB59:AI59)*ScoreCard!$F$26,
AVERAGE(Calculator!AK59:AL59)*ScoreCard!$G$26)
&gt;
MAX(Calculator!AN90),
SUM(AVERAGE(Calculator!W59:Z59)*ScoreCard!$E$26,
AVERAGE(Calculator!AB59:AI59)*ScoreCard!$F$26,
AVERAGE(Calculator!AK59:AL59)*ScoreCard!$G$26),
MAX(Calculator!AN90))</f>
        <v>3.2625000000000002</v>
      </c>
      <c r="I58" s="5"/>
      <c r="J58" s="5"/>
      <c r="K58" s="5"/>
    </row>
    <row r="59" spans="2:11" x14ac:dyDescent="0.4">
      <c r="B59" s="4" t="str">
        <f>Population_Input!A59</f>
        <v>Rohan</v>
      </c>
      <c r="C59" s="4" t="str">
        <f>Population_Input!B59</f>
        <v>Westemnet</v>
      </c>
      <c r="D59" s="93">
        <f t="shared" si="5"/>
        <v>58159</v>
      </c>
      <c r="E59" s="6">
        <f t="shared" ca="1" si="4"/>
        <v>31659</v>
      </c>
      <c r="F59" s="6" cm="1">
        <f t="array" aca="1" ref="F59" ca="1">MAX(INDEX(P_HS_01,MATCH($C59,IN_Admin2,0)),
IF(INDEX(P_HS_02,MATCH($C59,IN_Admin2,0))="",0,INDEX(P_HS_02,MATCH($C59,IN_Admin2,0))),
IF(INDEX(P_HS_06a,MATCH($C59,IN_Admin2,0))="",0,INDEX(P_HS_06a,MATCH($C59,IN_Admin2,0))),
IF(INDEX(P_HS_06b,MATCH($C59,IN_Admin2,0))="",0,INDEX(P_HS_06b,MATCH($C59,IN_Admin2,0))),
IF(INDEX(P_HS_06c,MATCH($C59,IN_Admin2,0))="",0,INDEX(P_HS_06c,MATCH($C59,IN_Admin2,0))))</f>
        <v>51179.92</v>
      </c>
      <c r="G59" s="6">
        <f t="shared" ca="1" si="2"/>
        <v>21802</v>
      </c>
      <c r="H59" s="6">
        <f ca="1">IF(SUM(AVERAGE(Calculator!W60:Z60)*ScoreCard!$E$26,
AVERAGE(Calculator!AB60:AI60)*ScoreCard!$F$26,
AVERAGE(Calculator!AK60:AL60)*ScoreCard!$G$26)
&gt;
MAX(Calculator!AN91),
SUM(AVERAGE(Calculator!W60:Z60)*ScoreCard!$E$26,
AVERAGE(Calculator!AB60:AI60)*ScoreCard!$F$26,
AVERAGE(Calculator!AK60:AL60)*ScoreCard!$G$26),
MAX(Calculator!AN91))</f>
        <v>2.9725000000000001</v>
      </c>
      <c r="I59" s="5"/>
      <c r="J59" s="5"/>
      <c r="K59" s="5"/>
    </row>
    <row r="60" spans="2:11" x14ac:dyDescent="0.4">
      <c r="B60" s="4" t="str">
        <f>Population_Input!A60</f>
        <v>Rohan</v>
      </c>
      <c r="C60" s="4" t="str">
        <f>Population_Input!B60</f>
        <v>Westfold</v>
      </c>
      <c r="D60" s="93">
        <f t="shared" ref="D60" si="6">INDEX(Population,MATCH(C60,Admin2,0))</f>
        <v>8709</v>
      </c>
      <c r="E60" s="6">
        <f t="shared" ca="1" si="4"/>
        <v>3135.2400000000002</v>
      </c>
      <c r="F60" s="6" cm="1">
        <f t="array" aca="1" ref="F60" ca="1">MAX(INDEX(P_HS_01,MATCH($C60,IN_Admin2,0)),
IF(INDEX(P_HS_02,MATCH($C60,IN_Admin2,0))="",0,INDEX(P_HS_02,MATCH($C60,IN_Admin2,0))),
IF(INDEX(P_HS_06a,MATCH($C60,IN_Admin2,0))="",0,INDEX(P_HS_06a,MATCH($C60,IN_Admin2,0))),
IF(INDEX(P_HS_06b,MATCH($C60,IN_Admin2,0))="",0,INDEX(P_HS_06b,MATCH($C60,IN_Admin2,0))),
IF(INDEX(P_HS_06c,MATCH($C60,IN_Admin2,0))="",0,INDEX(P_HS_06c,MATCH($C60,IN_Admin2,0))))</f>
        <v>4877.0399999999991</v>
      </c>
      <c r="G60" s="6">
        <f t="shared" ca="1" si="2"/>
        <v>1978</v>
      </c>
      <c r="H60" s="6">
        <f ca="1">IF(SUM(AVERAGE(Calculator!W61:Z61)*ScoreCard!$E$26,
AVERAGE(Calculator!AB61:AI61)*ScoreCard!$F$26,
AVERAGE(Calculator!AK61:AL61)*ScoreCard!$G$26)
&gt;
MAX(Calculator!AN92),
SUM(AVERAGE(Calculator!W61:Z61)*ScoreCard!$E$26,
AVERAGE(Calculator!AB61:AI61)*ScoreCard!$F$26,
AVERAGE(Calculator!AK61:AL61)*ScoreCard!$G$26),
MAX(Calculator!AN92))</f>
        <v>3.1550000000000002</v>
      </c>
      <c r="I60" s="5"/>
      <c r="J60" s="5"/>
      <c r="K60" s="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4FF3E-62F6-C547-8851-CC0AA1D2A637}">
  <dimension ref="B4:F23"/>
  <sheetViews>
    <sheetView workbookViewId="0">
      <selection activeCell="B24" sqref="B24"/>
    </sheetView>
  </sheetViews>
  <sheetFormatPr defaultColWidth="11" defaultRowHeight="15.75" x14ac:dyDescent="0.5"/>
  <cols>
    <col min="5" max="5" width="65.1875" customWidth="1"/>
  </cols>
  <sheetData>
    <row r="4" spans="2:6" x14ac:dyDescent="0.5">
      <c r="B4" t="s">
        <v>74</v>
      </c>
    </row>
    <row r="5" spans="2:6" x14ac:dyDescent="0.5">
      <c r="D5" t="s">
        <v>10</v>
      </c>
      <c r="E5" t="s">
        <v>54</v>
      </c>
      <c r="F5" t="s">
        <v>203</v>
      </c>
    </row>
    <row r="6" spans="2:6" ht="46.15" x14ac:dyDescent="0.5">
      <c r="B6" t="s">
        <v>75</v>
      </c>
      <c r="C6" t="s">
        <v>106</v>
      </c>
      <c r="D6" s="56" t="s">
        <v>176</v>
      </c>
      <c r="E6" s="55" t="s">
        <v>109</v>
      </c>
    </row>
    <row r="7" spans="2:6" ht="46.5" thickBot="1" x14ac:dyDescent="0.55000000000000004">
      <c r="B7" t="s">
        <v>75</v>
      </c>
      <c r="C7" t="s">
        <v>106</v>
      </c>
      <c r="D7" s="59" t="s">
        <v>177</v>
      </c>
      <c r="E7" s="58" t="s">
        <v>111</v>
      </c>
    </row>
    <row r="8" spans="2:6" ht="46.5" thickBot="1" x14ac:dyDescent="0.55000000000000004">
      <c r="B8" t="s">
        <v>75</v>
      </c>
      <c r="C8" t="s">
        <v>205</v>
      </c>
      <c r="D8" s="59" t="s">
        <v>178</v>
      </c>
      <c r="E8" s="61" t="s">
        <v>114</v>
      </c>
    </row>
    <row r="9" spans="2:6" ht="31.15" thickBot="1" x14ac:dyDescent="0.55000000000000004">
      <c r="B9" t="s">
        <v>75</v>
      </c>
      <c r="C9" t="s">
        <v>204</v>
      </c>
      <c r="D9" s="59" t="s">
        <v>175</v>
      </c>
      <c r="E9" s="58" t="s">
        <v>73</v>
      </c>
    </row>
    <row r="10" spans="2:6" ht="31.15" thickBot="1" x14ac:dyDescent="0.55000000000000004">
      <c r="B10" t="s">
        <v>75</v>
      </c>
      <c r="C10" t="s">
        <v>204</v>
      </c>
      <c r="D10" s="59" t="s">
        <v>179</v>
      </c>
      <c r="E10" s="52" t="s">
        <v>117</v>
      </c>
    </row>
    <row r="11" spans="2:6" ht="16.149999999999999" thickBot="1" x14ac:dyDescent="0.55000000000000004">
      <c r="B11" t="s">
        <v>75</v>
      </c>
      <c r="C11" t="s">
        <v>204</v>
      </c>
      <c r="D11" s="59" t="s">
        <v>180</v>
      </c>
      <c r="E11" s="55" t="s">
        <v>119</v>
      </c>
    </row>
    <row r="12" spans="2:6" ht="31.15" thickBot="1" x14ac:dyDescent="0.55000000000000004">
      <c r="B12" t="s">
        <v>75</v>
      </c>
      <c r="C12" t="s">
        <v>204</v>
      </c>
      <c r="D12" s="59" t="s">
        <v>181</v>
      </c>
      <c r="E12" s="55" t="s">
        <v>122</v>
      </c>
    </row>
    <row r="13" spans="2:6" ht="31.15" thickBot="1" x14ac:dyDescent="0.55000000000000004">
      <c r="B13" t="s">
        <v>75</v>
      </c>
      <c r="C13" t="s">
        <v>204</v>
      </c>
      <c r="D13" s="59" t="s">
        <v>5</v>
      </c>
      <c r="E13" s="58" t="s">
        <v>127</v>
      </c>
    </row>
    <row r="14" spans="2:6" ht="30.75" x14ac:dyDescent="0.5">
      <c r="B14" t="s">
        <v>75</v>
      </c>
      <c r="C14" t="s">
        <v>129</v>
      </c>
      <c r="D14" s="53" t="s">
        <v>183</v>
      </c>
      <c r="E14" s="52" t="s">
        <v>130</v>
      </c>
    </row>
    <row r="15" spans="2:6" ht="46.5" thickBot="1" x14ac:dyDescent="0.55000000000000004">
      <c r="B15" t="s">
        <v>75</v>
      </c>
      <c r="C15" t="s">
        <v>129</v>
      </c>
      <c r="D15" s="59" t="s">
        <v>6</v>
      </c>
      <c r="E15" s="58" t="s">
        <v>132</v>
      </c>
    </row>
    <row r="16" spans="2:6" ht="30.75" x14ac:dyDescent="0.5">
      <c r="B16" t="s">
        <v>75</v>
      </c>
      <c r="C16" t="s">
        <v>134</v>
      </c>
      <c r="D16" s="53" t="s">
        <v>190</v>
      </c>
      <c r="E16" s="52" t="s">
        <v>135</v>
      </c>
    </row>
    <row r="17" spans="2:5" ht="30.75" x14ac:dyDescent="0.5">
      <c r="B17" t="s">
        <v>75</v>
      </c>
      <c r="C17" t="s">
        <v>134</v>
      </c>
      <c r="D17" s="56" t="s">
        <v>191</v>
      </c>
      <c r="E17" s="55" t="s">
        <v>138</v>
      </c>
    </row>
    <row r="18" spans="2:5" ht="31.15" thickBot="1" x14ac:dyDescent="0.55000000000000004">
      <c r="B18" t="s">
        <v>75</v>
      </c>
      <c r="C18" t="s">
        <v>134</v>
      </c>
      <c r="D18" s="56" t="s">
        <v>192</v>
      </c>
      <c r="E18" s="55" t="s">
        <v>140</v>
      </c>
    </row>
    <row r="19" spans="2:5" ht="61.5" x14ac:dyDescent="0.5">
      <c r="B19" t="s">
        <v>75</v>
      </c>
      <c r="C19" t="s">
        <v>148</v>
      </c>
      <c r="D19" s="53" t="s">
        <v>193</v>
      </c>
      <c r="E19" s="52" t="s">
        <v>149</v>
      </c>
    </row>
    <row r="20" spans="2:5" ht="31.15" thickBot="1" x14ac:dyDescent="0.55000000000000004">
      <c r="B20" t="s">
        <v>75</v>
      </c>
      <c r="C20" t="s">
        <v>148</v>
      </c>
      <c r="D20" s="59" t="s">
        <v>194</v>
      </c>
      <c r="E20" s="58" t="s">
        <v>151</v>
      </c>
    </row>
    <row r="21" spans="2:5" ht="30.75" x14ac:dyDescent="0.5">
      <c r="B21" t="s">
        <v>75</v>
      </c>
      <c r="C21" t="s">
        <v>155</v>
      </c>
      <c r="D21" s="53" t="s">
        <v>195</v>
      </c>
      <c r="E21" s="52" t="s">
        <v>156</v>
      </c>
    </row>
    <row r="22" spans="2:5" ht="31.15" thickBot="1" x14ac:dyDescent="0.55000000000000004">
      <c r="B22" t="s">
        <v>125</v>
      </c>
      <c r="D22" s="59" t="s">
        <v>182</v>
      </c>
      <c r="E22" s="55" t="s">
        <v>124</v>
      </c>
    </row>
    <row r="23" spans="2:5" x14ac:dyDescent="0.5">
      <c r="B23" t="s">
        <v>125</v>
      </c>
      <c r="D23" s="56" t="s">
        <v>197</v>
      </c>
      <c r="E23" s="55" t="s">
        <v>168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CA69-E3FB-43EE-A6DC-572FE16D83A2}">
  <sheetPr>
    <tabColor rgb="FF009FE3"/>
  </sheetPr>
  <dimension ref="A1:R56"/>
  <sheetViews>
    <sheetView showGridLines="0" workbookViewId="0">
      <selection activeCell="R6" sqref="R6"/>
    </sheetView>
  </sheetViews>
  <sheetFormatPr defaultColWidth="8.8125" defaultRowHeight="15.75" x14ac:dyDescent="0.5"/>
  <cols>
    <col min="1" max="1" width="16.5" customWidth="1"/>
    <col min="2" max="2" width="24" customWidth="1"/>
    <col min="5" max="5" width="14" customWidth="1"/>
    <col min="7" max="18" width="14" customWidth="1"/>
  </cols>
  <sheetData>
    <row r="1" spans="1:18" ht="16.149999999999999" x14ac:dyDescent="0.5">
      <c r="A1" s="15" t="s">
        <v>280</v>
      </c>
      <c r="B1" s="15" t="s">
        <v>281</v>
      </c>
      <c r="E1" s="42" t="s">
        <v>344</v>
      </c>
      <c r="G1" s="42" t="s">
        <v>280</v>
      </c>
      <c r="H1" s="42" t="s">
        <v>284</v>
      </c>
      <c r="I1" s="42" t="s">
        <v>287</v>
      </c>
      <c r="J1" s="42" t="s">
        <v>289</v>
      </c>
      <c r="K1" s="42" t="s">
        <v>294</v>
      </c>
      <c r="L1" s="42" t="s">
        <v>297</v>
      </c>
      <c r="M1" s="42" t="s">
        <v>310</v>
      </c>
      <c r="N1" s="42" t="s">
        <v>315</v>
      </c>
      <c r="O1" s="42" t="s">
        <v>319</v>
      </c>
      <c r="P1" s="42" t="s">
        <v>324</v>
      </c>
      <c r="Q1" s="42" t="s">
        <v>332</v>
      </c>
      <c r="R1" s="42" t="s">
        <v>337</v>
      </c>
    </row>
    <row r="2" spans="1:18" ht="16.149999999999999" x14ac:dyDescent="0.5">
      <c r="A2" s="15" t="s">
        <v>280</v>
      </c>
      <c r="B2" s="15" t="s">
        <v>282</v>
      </c>
      <c r="E2" s="15" t="s">
        <v>280</v>
      </c>
      <c r="G2" s="15" t="s">
        <v>281</v>
      </c>
      <c r="H2" s="15" t="s">
        <v>285</v>
      </c>
      <c r="I2" s="15" t="s">
        <v>288</v>
      </c>
      <c r="J2" s="15" t="s">
        <v>290</v>
      </c>
      <c r="K2" s="15" t="s">
        <v>295</v>
      </c>
      <c r="L2" s="15" t="s">
        <v>298</v>
      </c>
      <c r="M2" s="15" t="s">
        <v>311</v>
      </c>
      <c r="N2" s="15" t="s">
        <v>316</v>
      </c>
      <c r="O2" s="15" t="s">
        <v>320</v>
      </c>
      <c r="P2" s="15" t="s">
        <v>325</v>
      </c>
      <c r="Q2" s="15" t="s">
        <v>333</v>
      </c>
      <c r="R2" s="15" t="s">
        <v>338</v>
      </c>
    </row>
    <row r="3" spans="1:18" ht="16.149999999999999" x14ac:dyDescent="0.5">
      <c r="A3" s="15" t="s">
        <v>280</v>
      </c>
      <c r="B3" s="15" t="s">
        <v>283</v>
      </c>
      <c r="E3" s="15" t="s">
        <v>284</v>
      </c>
      <c r="G3" s="15" t="s">
        <v>282</v>
      </c>
      <c r="H3" s="15" t="s">
        <v>286</v>
      </c>
      <c r="J3" s="15" t="s">
        <v>280</v>
      </c>
      <c r="K3" s="15" t="s">
        <v>296</v>
      </c>
      <c r="L3" s="15" t="s">
        <v>299</v>
      </c>
      <c r="M3" s="15" t="s">
        <v>312</v>
      </c>
      <c r="N3" s="15" t="s">
        <v>317</v>
      </c>
      <c r="O3" s="15" t="s">
        <v>321</v>
      </c>
      <c r="P3" s="15" t="s">
        <v>326</v>
      </c>
      <c r="Q3" s="15" t="s">
        <v>334</v>
      </c>
      <c r="R3" s="15" t="s">
        <v>339</v>
      </c>
    </row>
    <row r="4" spans="1:18" ht="16.149999999999999" x14ac:dyDescent="0.5">
      <c r="A4" s="15" t="s">
        <v>284</v>
      </c>
      <c r="B4" s="15" t="s">
        <v>285</v>
      </c>
      <c r="E4" s="15" t="s">
        <v>287</v>
      </c>
      <c r="G4" s="15" t="s">
        <v>283</v>
      </c>
      <c r="J4" s="15" t="s">
        <v>281</v>
      </c>
      <c r="L4" s="15" t="s">
        <v>300</v>
      </c>
      <c r="M4" s="15" t="s">
        <v>313</v>
      </c>
      <c r="N4" s="15" t="s">
        <v>318</v>
      </c>
      <c r="O4" s="15" t="s">
        <v>322</v>
      </c>
      <c r="P4" s="15" t="s">
        <v>327</v>
      </c>
      <c r="Q4" s="15" t="s">
        <v>335</v>
      </c>
      <c r="R4" s="15" t="s">
        <v>340</v>
      </c>
    </row>
    <row r="5" spans="1:18" ht="16.149999999999999" x14ac:dyDescent="0.5">
      <c r="A5" s="15" t="s">
        <v>284</v>
      </c>
      <c r="B5" s="15" t="s">
        <v>286</v>
      </c>
      <c r="E5" s="15" t="s">
        <v>289</v>
      </c>
      <c r="J5" s="15" t="s">
        <v>282</v>
      </c>
      <c r="L5" s="15" t="s">
        <v>301</v>
      </c>
      <c r="M5" s="15" t="s">
        <v>314</v>
      </c>
      <c r="O5" s="15" t="s">
        <v>323</v>
      </c>
      <c r="P5" s="15" t="s">
        <v>328</v>
      </c>
      <c r="Q5" s="15" t="s">
        <v>336</v>
      </c>
      <c r="R5" s="15" t="s">
        <v>341</v>
      </c>
    </row>
    <row r="6" spans="1:18" ht="16.149999999999999" x14ac:dyDescent="0.5">
      <c r="A6" s="15" t="s">
        <v>287</v>
      </c>
      <c r="B6" s="15" t="s">
        <v>288</v>
      </c>
      <c r="E6" s="15" t="s">
        <v>294</v>
      </c>
      <c r="J6" s="15" t="s">
        <v>291</v>
      </c>
      <c r="L6" s="15" t="s">
        <v>302</v>
      </c>
      <c r="P6" s="15" t="s">
        <v>329</v>
      </c>
      <c r="R6" s="15" t="s">
        <v>342</v>
      </c>
    </row>
    <row r="7" spans="1:18" ht="16.149999999999999" x14ac:dyDescent="0.5">
      <c r="A7" s="15" t="s">
        <v>289</v>
      </c>
      <c r="B7" s="15" t="s">
        <v>290</v>
      </c>
      <c r="E7" s="15" t="s">
        <v>297</v>
      </c>
      <c r="J7" s="15" t="s">
        <v>283</v>
      </c>
      <c r="L7" s="15" t="s">
        <v>303</v>
      </c>
      <c r="P7" s="15" t="s">
        <v>330</v>
      </c>
      <c r="R7" s="15" t="s">
        <v>343</v>
      </c>
    </row>
    <row r="8" spans="1:18" ht="16.149999999999999" x14ac:dyDescent="0.5">
      <c r="A8" s="15" t="s">
        <v>289</v>
      </c>
      <c r="B8" s="15" t="s">
        <v>280</v>
      </c>
      <c r="E8" s="15" t="s">
        <v>310</v>
      </c>
      <c r="J8" s="15" t="s">
        <v>292</v>
      </c>
      <c r="L8" s="15" t="s">
        <v>304</v>
      </c>
      <c r="P8" s="15" t="s">
        <v>331</v>
      </c>
    </row>
    <row r="9" spans="1:18" ht="16.149999999999999" x14ac:dyDescent="0.5">
      <c r="A9" s="15" t="s">
        <v>289</v>
      </c>
      <c r="B9" s="15" t="s">
        <v>281</v>
      </c>
      <c r="E9" s="15" t="s">
        <v>315</v>
      </c>
      <c r="J9" s="15" t="s">
        <v>293</v>
      </c>
      <c r="L9" s="15" t="s">
        <v>305</v>
      </c>
    </row>
    <row r="10" spans="1:18" ht="16.149999999999999" x14ac:dyDescent="0.5">
      <c r="A10" s="15" t="s">
        <v>289</v>
      </c>
      <c r="B10" s="15" t="s">
        <v>282</v>
      </c>
      <c r="E10" s="15" t="s">
        <v>319</v>
      </c>
      <c r="L10" s="15" t="s">
        <v>306</v>
      </c>
    </row>
    <row r="11" spans="1:18" ht="16.149999999999999" x14ac:dyDescent="0.5">
      <c r="A11" s="15" t="s">
        <v>289</v>
      </c>
      <c r="B11" s="15" t="s">
        <v>291</v>
      </c>
      <c r="E11" s="15" t="s">
        <v>324</v>
      </c>
      <c r="L11" s="15" t="s">
        <v>307</v>
      </c>
    </row>
    <row r="12" spans="1:18" ht="16.149999999999999" x14ac:dyDescent="0.5">
      <c r="A12" s="15" t="s">
        <v>289</v>
      </c>
      <c r="B12" s="15" t="s">
        <v>283</v>
      </c>
      <c r="E12" s="15" t="s">
        <v>332</v>
      </c>
      <c r="L12" s="15" t="s">
        <v>308</v>
      </c>
    </row>
    <row r="13" spans="1:18" ht="16.149999999999999" x14ac:dyDescent="0.5">
      <c r="A13" s="15" t="s">
        <v>289</v>
      </c>
      <c r="B13" s="15" t="s">
        <v>292</v>
      </c>
      <c r="E13" s="15" t="s">
        <v>337</v>
      </c>
      <c r="L13" s="15" t="s">
        <v>309</v>
      </c>
    </row>
    <row r="14" spans="1:18" ht="16.149999999999999" x14ac:dyDescent="0.5">
      <c r="A14" s="15" t="s">
        <v>289</v>
      </c>
      <c r="B14" s="15" t="s">
        <v>293</v>
      </c>
    </row>
    <row r="15" spans="1:18" ht="16.149999999999999" x14ac:dyDescent="0.5">
      <c r="A15" s="15" t="s">
        <v>294</v>
      </c>
      <c r="B15" s="15" t="s">
        <v>295</v>
      </c>
    </row>
    <row r="16" spans="1:18" ht="16.149999999999999" x14ac:dyDescent="0.5">
      <c r="A16" s="15" t="s">
        <v>294</v>
      </c>
      <c r="B16" s="15" t="s">
        <v>296</v>
      </c>
    </row>
    <row r="17" spans="1:2" ht="16.149999999999999" x14ac:dyDescent="0.5">
      <c r="A17" s="15" t="s">
        <v>297</v>
      </c>
      <c r="B17" s="15" t="s">
        <v>298</v>
      </c>
    </row>
    <row r="18" spans="1:2" ht="16.149999999999999" x14ac:dyDescent="0.5">
      <c r="A18" s="15" t="s">
        <v>297</v>
      </c>
      <c r="B18" s="15" t="s">
        <v>299</v>
      </c>
    </row>
    <row r="19" spans="1:2" ht="16.149999999999999" x14ac:dyDescent="0.5">
      <c r="A19" s="15" t="s">
        <v>297</v>
      </c>
      <c r="B19" s="15" t="s">
        <v>300</v>
      </c>
    </row>
    <row r="20" spans="1:2" ht="16.149999999999999" x14ac:dyDescent="0.5">
      <c r="A20" s="15" t="s">
        <v>297</v>
      </c>
      <c r="B20" s="15" t="s">
        <v>301</v>
      </c>
    </row>
    <row r="21" spans="1:2" ht="16.149999999999999" x14ac:dyDescent="0.5">
      <c r="A21" s="15" t="s">
        <v>297</v>
      </c>
      <c r="B21" s="15" t="s">
        <v>302</v>
      </c>
    </row>
    <row r="22" spans="1:2" ht="16.149999999999999" x14ac:dyDescent="0.5">
      <c r="A22" s="15" t="s">
        <v>297</v>
      </c>
      <c r="B22" s="15" t="s">
        <v>303</v>
      </c>
    </row>
    <row r="23" spans="1:2" ht="16.149999999999999" x14ac:dyDescent="0.5">
      <c r="A23" s="15" t="s">
        <v>297</v>
      </c>
      <c r="B23" s="15" t="s">
        <v>304</v>
      </c>
    </row>
    <row r="24" spans="1:2" ht="16.149999999999999" x14ac:dyDescent="0.5">
      <c r="A24" s="15" t="s">
        <v>297</v>
      </c>
      <c r="B24" s="15" t="s">
        <v>305</v>
      </c>
    </row>
    <row r="25" spans="1:2" ht="16.149999999999999" x14ac:dyDescent="0.5">
      <c r="A25" s="15" t="s">
        <v>297</v>
      </c>
      <c r="B25" s="15" t="s">
        <v>306</v>
      </c>
    </row>
    <row r="26" spans="1:2" ht="16.149999999999999" x14ac:dyDescent="0.5">
      <c r="A26" s="15" t="s">
        <v>297</v>
      </c>
      <c r="B26" s="15" t="s">
        <v>307</v>
      </c>
    </row>
    <row r="27" spans="1:2" ht="16.149999999999999" x14ac:dyDescent="0.5">
      <c r="A27" s="15" t="s">
        <v>297</v>
      </c>
      <c r="B27" s="15" t="s">
        <v>308</v>
      </c>
    </row>
    <row r="28" spans="1:2" ht="16.149999999999999" x14ac:dyDescent="0.5">
      <c r="A28" s="15" t="s">
        <v>297</v>
      </c>
      <c r="B28" s="15" t="s">
        <v>309</v>
      </c>
    </row>
    <row r="29" spans="1:2" ht="16.149999999999999" x14ac:dyDescent="0.5">
      <c r="A29" s="15" t="s">
        <v>310</v>
      </c>
      <c r="B29" s="15" t="s">
        <v>311</v>
      </c>
    </row>
    <row r="30" spans="1:2" ht="16.149999999999999" x14ac:dyDescent="0.5">
      <c r="A30" s="15" t="s">
        <v>310</v>
      </c>
      <c r="B30" s="15" t="s">
        <v>312</v>
      </c>
    </row>
    <row r="31" spans="1:2" ht="16.149999999999999" x14ac:dyDescent="0.5">
      <c r="A31" s="15" t="s">
        <v>310</v>
      </c>
      <c r="B31" s="15" t="s">
        <v>313</v>
      </c>
    </row>
    <row r="32" spans="1:2" ht="16.149999999999999" x14ac:dyDescent="0.5">
      <c r="A32" s="15" t="s">
        <v>310</v>
      </c>
      <c r="B32" s="15" t="s">
        <v>314</v>
      </c>
    </row>
    <row r="33" spans="1:2" ht="16.149999999999999" x14ac:dyDescent="0.5">
      <c r="A33" s="15" t="s">
        <v>315</v>
      </c>
      <c r="B33" s="15" t="s">
        <v>316</v>
      </c>
    </row>
    <row r="34" spans="1:2" ht="16.149999999999999" x14ac:dyDescent="0.5">
      <c r="A34" s="15" t="s">
        <v>315</v>
      </c>
      <c r="B34" s="15" t="s">
        <v>317</v>
      </c>
    </row>
    <row r="35" spans="1:2" ht="16.149999999999999" x14ac:dyDescent="0.5">
      <c r="A35" s="15" t="s">
        <v>315</v>
      </c>
      <c r="B35" s="15" t="s">
        <v>318</v>
      </c>
    </row>
    <row r="36" spans="1:2" ht="16.149999999999999" x14ac:dyDescent="0.5">
      <c r="A36" s="15" t="s">
        <v>319</v>
      </c>
      <c r="B36" s="15" t="s">
        <v>320</v>
      </c>
    </row>
    <row r="37" spans="1:2" ht="16.149999999999999" x14ac:dyDescent="0.5">
      <c r="A37" s="15" t="s">
        <v>319</v>
      </c>
      <c r="B37" s="15" t="s">
        <v>321</v>
      </c>
    </row>
    <row r="38" spans="1:2" ht="16.149999999999999" x14ac:dyDescent="0.5">
      <c r="A38" s="15" t="s">
        <v>319</v>
      </c>
      <c r="B38" s="15" t="s">
        <v>322</v>
      </c>
    </row>
    <row r="39" spans="1:2" ht="16.149999999999999" x14ac:dyDescent="0.5">
      <c r="A39" s="15" t="s">
        <v>319</v>
      </c>
      <c r="B39" s="15" t="s">
        <v>323</v>
      </c>
    </row>
    <row r="40" spans="1:2" ht="16.149999999999999" x14ac:dyDescent="0.5">
      <c r="A40" s="15" t="s">
        <v>324</v>
      </c>
      <c r="B40" s="15" t="s">
        <v>325</v>
      </c>
    </row>
    <row r="41" spans="1:2" ht="16.149999999999999" x14ac:dyDescent="0.5">
      <c r="A41" s="15" t="s">
        <v>324</v>
      </c>
      <c r="B41" s="15" t="s">
        <v>326</v>
      </c>
    </row>
    <row r="42" spans="1:2" ht="16.149999999999999" x14ac:dyDescent="0.5">
      <c r="A42" s="15" t="s">
        <v>324</v>
      </c>
      <c r="B42" s="15" t="s">
        <v>327</v>
      </c>
    </row>
    <row r="43" spans="1:2" ht="16.149999999999999" x14ac:dyDescent="0.5">
      <c r="A43" s="15" t="s">
        <v>324</v>
      </c>
      <c r="B43" s="15" t="s">
        <v>328</v>
      </c>
    </row>
    <row r="44" spans="1:2" ht="16.149999999999999" x14ac:dyDescent="0.5">
      <c r="A44" s="15" t="s">
        <v>324</v>
      </c>
      <c r="B44" s="15" t="s">
        <v>329</v>
      </c>
    </row>
    <row r="45" spans="1:2" ht="16.149999999999999" x14ac:dyDescent="0.5">
      <c r="A45" s="15" t="s">
        <v>324</v>
      </c>
      <c r="B45" s="15" t="s">
        <v>330</v>
      </c>
    </row>
    <row r="46" spans="1:2" ht="16.149999999999999" x14ac:dyDescent="0.5">
      <c r="A46" s="15" t="s">
        <v>324</v>
      </c>
      <c r="B46" s="15" t="s">
        <v>331</v>
      </c>
    </row>
    <row r="47" spans="1:2" ht="16.149999999999999" x14ac:dyDescent="0.5">
      <c r="A47" s="15" t="s">
        <v>332</v>
      </c>
      <c r="B47" s="15" t="s">
        <v>333</v>
      </c>
    </row>
    <row r="48" spans="1:2" ht="16.149999999999999" x14ac:dyDescent="0.5">
      <c r="A48" s="15" t="s">
        <v>332</v>
      </c>
      <c r="B48" s="15" t="s">
        <v>334</v>
      </c>
    </row>
    <row r="49" spans="1:2" ht="16.149999999999999" x14ac:dyDescent="0.5">
      <c r="A49" s="15" t="s">
        <v>332</v>
      </c>
      <c r="B49" s="15" t="s">
        <v>335</v>
      </c>
    </row>
    <row r="50" spans="1:2" ht="16.149999999999999" x14ac:dyDescent="0.5">
      <c r="A50" s="15" t="s">
        <v>332</v>
      </c>
      <c r="B50" s="15" t="s">
        <v>336</v>
      </c>
    </row>
    <row r="51" spans="1:2" ht="16.149999999999999" x14ac:dyDescent="0.5">
      <c r="A51" s="15" t="s">
        <v>337</v>
      </c>
      <c r="B51" s="15" t="s">
        <v>338</v>
      </c>
    </row>
    <row r="52" spans="1:2" ht="16.149999999999999" x14ac:dyDescent="0.5">
      <c r="A52" s="15" t="s">
        <v>337</v>
      </c>
      <c r="B52" s="15" t="s">
        <v>339</v>
      </c>
    </row>
    <row r="53" spans="1:2" ht="16.149999999999999" x14ac:dyDescent="0.5">
      <c r="A53" s="15" t="s">
        <v>337</v>
      </c>
      <c r="B53" s="15" t="s">
        <v>340</v>
      </c>
    </row>
    <row r="54" spans="1:2" ht="16.149999999999999" x14ac:dyDescent="0.5">
      <c r="A54" s="15" t="s">
        <v>337</v>
      </c>
      <c r="B54" s="15" t="s">
        <v>341</v>
      </c>
    </row>
    <row r="55" spans="1:2" ht="16.149999999999999" x14ac:dyDescent="0.5">
      <c r="A55" s="15" t="s">
        <v>337</v>
      </c>
      <c r="B55" s="15" t="s">
        <v>342</v>
      </c>
    </row>
    <row r="56" spans="1:2" ht="16.149999999999999" x14ac:dyDescent="0.5">
      <c r="A56" s="15" t="s">
        <v>337</v>
      </c>
      <c r="B56" s="15" t="s">
        <v>343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132</vt:i4>
      </vt:variant>
    </vt:vector>
  </HeadingPairs>
  <TitlesOfParts>
    <vt:vector size="141" baseType="lpstr">
      <vt:lpstr>Read Me</vt:lpstr>
      <vt:lpstr>GHC_CoreIndicators_Measurement</vt:lpstr>
      <vt:lpstr>Population_Input</vt:lpstr>
      <vt:lpstr>Indicator_Input</vt:lpstr>
      <vt:lpstr>Calculator</vt:lpstr>
      <vt:lpstr>ScoreCard</vt:lpstr>
      <vt:lpstr>FinalPiN</vt:lpstr>
      <vt:lpstr>AnalysisScoreCard</vt:lpstr>
      <vt:lpstr>AdminData</vt:lpstr>
      <vt:lpstr>Admin1</vt:lpstr>
      <vt:lpstr>Admin2</vt:lpstr>
      <vt:lpstr>Age15Up</vt:lpstr>
      <vt:lpstr>Age1to14</vt:lpstr>
      <vt:lpstr>AdminData!Arnor</vt:lpstr>
      <vt:lpstr>Beleriand</vt:lpstr>
      <vt:lpstr>C_Admin1</vt:lpstr>
      <vt:lpstr>C_Admin2</vt:lpstr>
      <vt:lpstr>C_Severity</vt:lpstr>
      <vt:lpstr>Category</vt:lpstr>
      <vt:lpstr>CF_01</vt:lpstr>
      <vt:lpstr>CF_02</vt:lpstr>
      <vt:lpstr>CF_03</vt:lpstr>
      <vt:lpstr>CF_03a</vt:lpstr>
      <vt:lpstr>CF_03b</vt:lpstr>
      <vt:lpstr>CF_04</vt:lpstr>
      <vt:lpstr>CF_04a</vt:lpstr>
      <vt:lpstr>CF_04b</vt:lpstr>
      <vt:lpstr>Critical</vt:lpstr>
      <vt:lpstr>Data_Reliability</vt:lpstr>
      <vt:lpstr>Data_Source</vt:lpstr>
      <vt:lpstr>Displaced</vt:lpstr>
      <vt:lpstr>EndFormula</vt:lpstr>
      <vt:lpstr>Eriador</vt:lpstr>
      <vt:lpstr>First_Admin</vt:lpstr>
      <vt:lpstr>Forodwaith</vt:lpstr>
      <vt:lpstr>FP_Admin_1</vt:lpstr>
      <vt:lpstr>FP_Admin_2</vt:lpstr>
      <vt:lpstr>FP_Admin1</vt:lpstr>
      <vt:lpstr>FP_Admin2</vt:lpstr>
      <vt:lpstr>Framework_Class</vt:lpstr>
      <vt:lpstr>Gondor</vt:lpstr>
      <vt:lpstr>Harad</vt:lpstr>
      <vt:lpstr>HR_01</vt:lpstr>
      <vt:lpstr>HR_01b</vt:lpstr>
      <vt:lpstr>HR_02</vt:lpstr>
      <vt:lpstr>HR_05</vt:lpstr>
      <vt:lpstr>HR_06</vt:lpstr>
      <vt:lpstr>HR_06b</vt:lpstr>
      <vt:lpstr>HR_07</vt:lpstr>
      <vt:lpstr>HR_08</vt:lpstr>
      <vt:lpstr>HR_12</vt:lpstr>
      <vt:lpstr>HR_12b</vt:lpstr>
      <vt:lpstr>HR_13</vt:lpstr>
      <vt:lpstr>HR_14</vt:lpstr>
      <vt:lpstr>HR_14b</vt:lpstr>
      <vt:lpstr>HR_18</vt:lpstr>
      <vt:lpstr>HR_19</vt:lpstr>
      <vt:lpstr>HR_20</vt:lpstr>
      <vt:lpstr>HS_01</vt:lpstr>
      <vt:lpstr>HS_02</vt:lpstr>
      <vt:lpstr>HS_03</vt:lpstr>
      <vt:lpstr>HS_04</vt:lpstr>
      <vt:lpstr>HS_05</vt:lpstr>
      <vt:lpstr>HS_06</vt:lpstr>
      <vt:lpstr>HS_06a</vt:lpstr>
      <vt:lpstr>HS_06b</vt:lpstr>
      <vt:lpstr>HS_06c</vt:lpstr>
      <vt:lpstr>HS_07</vt:lpstr>
      <vt:lpstr>HS_08</vt:lpstr>
      <vt:lpstr>HS_09</vt:lpstr>
      <vt:lpstr>IN_Admin1</vt:lpstr>
      <vt:lpstr>IN_Admin2</vt:lpstr>
      <vt:lpstr>Lindon</vt:lpstr>
      <vt:lpstr>Logical_Operator</vt:lpstr>
      <vt:lpstr>M_CF</vt:lpstr>
      <vt:lpstr>M_HSR</vt:lpstr>
      <vt:lpstr>Measure</vt:lpstr>
      <vt:lpstr>Mordor</vt:lpstr>
      <vt:lpstr>Notes</vt:lpstr>
      <vt:lpstr>P_Admin_1</vt:lpstr>
      <vt:lpstr>P_Admin_2</vt:lpstr>
      <vt:lpstr>P_CF_01</vt:lpstr>
      <vt:lpstr>P_CF_02</vt:lpstr>
      <vt:lpstr>P_CF_03a</vt:lpstr>
      <vt:lpstr>P_CF_04a</vt:lpstr>
      <vt:lpstr>P_CF_06</vt:lpstr>
      <vt:lpstr>P_HR_01</vt:lpstr>
      <vt:lpstr>P_HR_01b</vt:lpstr>
      <vt:lpstr>P_HR_06</vt:lpstr>
      <vt:lpstr>P_HR_07</vt:lpstr>
      <vt:lpstr>P_HR_08</vt:lpstr>
      <vt:lpstr>P_HR_12</vt:lpstr>
      <vt:lpstr>P_HR_13</vt:lpstr>
      <vt:lpstr>P_HR_14</vt:lpstr>
      <vt:lpstr>P_HR_18</vt:lpstr>
      <vt:lpstr>P_HS_01</vt:lpstr>
      <vt:lpstr>P_HS_02</vt:lpstr>
      <vt:lpstr>P_HS_06</vt:lpstr>
      <vt:lpstr>P_HS_06a</vt:lpstr>
      <vt:lpstr>P_HS_06b</vt:lpstr>
      <vt:lpstr>P_HS_06c</vt:lpstr>
      <vt:lpstr>PiN_Code</vt:lpstr>
      <vt:lpstr>PiN_Per</vt:lpstr>
      <vt:lpstr>PiN_Threshold</vt:lpstr>
      <vt:lpstr>Pop</vt:lpstr>
      <vt:lpstr>Pop_Admin1</vt:lpstr>
      <vt:lpstr>Pop_Admin2</vt:lpstr>
      <vt:lpstr>Population</vt:lpstr>
      <vt:lpstr>Rhovanion</vt:lpstr>
      <vt:lpstr>Rhun</vt:lpstr>
      <vt:lpstr>Rohan</vt:lpstr>
      <vt:lpstr>S_CF_02</vt:lpstr>
      <vt:lpstr>S_CF_03a</vt:lpstr>
      <vt:lpstr>S_CF_03b</vt:lpstr>
      <vt:lpstr>S_CF_04</vt:lpstr>
      <vt:lpstr>S_CF_04b</vt:lpstr>
      <vt:lpstr>S_CF_07</vt:lpstr>
      <vt:lpstr>S_CF_08</vt:lpstr>
      <vt:lpstr>S_HR_02</vt:lpstr>
      <vt:lpstr>S_HR_06b</vt:lpstr>
      <vt:lpstr>S_HR_09</vt:lpstr>
      <vt:lpstr>S_HR_11</vt:lpstr>
      <vt:lpstr>S_HR_12b</vt:lpstr>
      <vt:lpstr>S_HR_14</vt:lpstr>
      <vt:lpstr>S_HR_14b</vt:lpstr>
      <vt:lpstr>S_HS_02</vt:lpstr>
      <vt:lpstr>S_HS_03</vt:lpstr>
      <vt:lpstr>S_HS_06a</vt:lpstr>
      <vt:lpstr>S_HS_06b</vt:lpstr>
      <vt:lpstr>S_HS_06c</vt:lpstr>
      <vt:lpstr>S_HS_07</vt:lpstr>
      <vt:lpstr>S_HS_08</vt:lpstr>
      <vt:lpstr>S_HS_09</vt:lpstr>
      <vt:lpstr>Severity_1</vt:lpstr>
      <vt:lpstr>Severity_2</vt:lpstr>
      <vt:lpstr>Severity_3</vt:lpstr>
      <vt:lpstr>Severity_4</vt:lpstr>
      <vt:lpstr>Severity_5</vt:lpstr>
      <vt:lpstr>Sub_Class</vt:lpstr>
      <vt:lpstr>GHC_CoreIndicators_Measurement!Text</vt:lpstr>
      <vt:lpstr>Useage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davis</dc:creator>
  <cp:lastModifiedBy>alidavis</cp:lastModifiedBy>
  <dcterms:created xsi:type="dcterms:W3CDTF">2020-06-12T09:55:06Z</dcterms:created>
  <dcterms:modified xsi:type="dcterms:W3CDTF">2021-09-22T09:16:21Z</dcterms:modified>
</cp:coreProperties>
</file>